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48601026529\Desktop\Kemikaaliohutuse kontrolli teenus\Ohuprognoos\Ohuprognoos\Ohuprognoos 2018\"/>
    </mc:Choice>
  </mc:AlternateContent>
  <bookViews>
    <workbookView xWindow="0" yWindow="0" windowWidth="25200" windowHeight="12270"/>
  </bookViews>
  <sheets>
    <sheet name="Kõik" sheetId="1" r:id="rId1"/>
    <sheet name="Maakond" sheetId="3" r:id="rId2"/>
    <sheet name="Tegevusala" sheetId="4" r:id="rId3"/>
    <sheet name="Koond" sheetId="14" r:id="rId4"/>
    <sheet name="Seveso" sheetId="9" r:id="rId5"/>
    <sheet name="Luba" sheetId="12" r:id="rId6"/>
    <sheet name="EKTL" sheetId="11" r:id="rId7"/>
    <sheet name="Tegevusala+Maakond" sheetId="5" r:id="rId8"/>
    <sheet name="Kustutatud" sheetId="13" r:id="rId9"/>
    <sheet name="Peatatud" sheetId="15" r:id="rId10"/>
    <sheet name="27.02.2014" sheetId="7" r:id="rId11"/>
  </sheets>
  <definedNames>
    <definedName name="_xlnm._FilterDatabase" localSheetId="0" hidden="1">Kõik!$A$7:$AK$244</definedName>
  </definedNames>
  <calcPr calcId="162913"/>
</workbook>
</file>

<file path=xl/calcChain.xml><?xml version="1.0" encoding="utf-8"?>
<calcChain xmlns="http://schemas.openxmlformats.org/spreadsheetml/2006/main">
  <c r="AJ248" i="1" l="1"/>
  <c r="AK248" i="1"/>
  <c r="AK247" i="1"/>
  <c r="AK246" i="1"/>
  <c r="AK251" i="1" l="1"/>
  <c r="AK250" i="1"/>
  <c r="H8" i="14"/>
  <c r="AJ247" i="1"/>
  <c r="AJ246" i="1"/>
  <c r="AJ251" i="1" l="1"/>
  <c r="AJ250" i="1"/>
  <c r="O8" i="14"/>
  <c r="N3" i="14" l="1"/>
  <c r="N4" i="14"/>
  <c r="N5" i="14"/>
  <c r="N6" i="14"/>
  <c r="N2" i="14"/>
  <c r="J8" i="14" l="1"/>
  <c r="G7" i="14"/>
  <c r="F7" i="14"/>
  <c r="E7" i="14"/>
  <c r="D7" i="14"/>
  <c r="C7" i="14"/>
  <c r="B7" i="14"/>
  <c r="G6" i="14"/>
  <c r="F6" i="14"/>
  <c r="E6" i="14"/>
  <c r="D6" i="14"/>
  <c r="C6" i="14"/>
  <c r="B6" i="14"/>
  <c r="M8" i="14"/>
  <c r="G5" i="14"/>
  <c r="F5" i="14"/>
  <c r="E5" i="14"/>
  <c r="D5" i="14"/>
  <c r="C5" i="14"/>
  <c r="B5" i="14"/>
  <c r="G4" i="14"/>
  <c r="F4" i="14"/>
  <c r="E4" i="14"/>
  <c r="D4" i="14"/>
  <c r="C4" i="14"/>
  <c r="B4" i="14"/>
  <c r="G3" i="14"/>
  <c r="F3" i="14"/>
  <c r="D3" i="14"/>
  <c r="C3" i="14"/>
  <c r="B3" i="14"/>
  <c r="K8" i="14"/>
  <c r="L8" i="14"/>
  <c r="G2" i="14"/>
  <c r="F2" i="14"/>
  <c r="E2" i="14"/>
  <c r="D2" i="14"/>
  <c r="C2" i="14"/>
  <c r="B2" i="14"/>
  <c r="I2" i="14" l="1"/>
  <c r="I3" i="14"/>
  <c r="I5" i="14"/>
  <c r="I7" i="14"/>
  <c r="I4" i="14"/>
  <c r="I6" i="14"/>
  <c r="F8" i="14"/>
  <c r="D8" i="14"/>
  <c r="E8" i="14"/>
  <c r="B8" i="14"/>
  <c r="C8" i="14"/>
  <c r="G8" i="14"/>
  <c r="AE248" i="1" l="1"/>
  <c r="AF248" i="1"/>
  <c r="AG248" i="1"/>
  <c r="AH248" i="1"/>
  <c r="AI248" i="1"/>
  <c r="AD248" i="1"/>
  <c r="AE247" i="1"/>
  <c r="AF247" i="1"/>
  <c r="AG247" i="1"/>
  <c r="AH247" i="1"/>
  <c r="AI247" i="1"/>
  <c r="AD247" i="1"/>
  <c r="AE246" i="1"/>
  <c r="AF246" i="1"/>
  <c r="AG246" i="1"/>
  <c r="AH246" i="1"/>
  <c r="AI246" i="1"/>
  <c r="AD246" i="1"/>
  <c r="AH250" i="1" l="1"/>
  <c r="AF251" i="1"/>
  <c r="AD251" i="1"/>
  <c r="AI250" i="1"/>
  <c r="AE250" i="1"/>
  <c r="AG251" i="1"/>
  <c r="AG250" i="1"/>
  <c r="AI251" i="1"/>
  <c r="AE251" i="1"/>
  <c r="AD250" i="1"/>
  <c r="AF250" i="1"/>
  <c r="AH251" i="1"/>
  <c r="D6" i="12"/>
  <c r="C6" i="12"/>
  <c r="B6" i="12"/>
  <c r="D5" i="12"/>
  <c r="C5" i="12"/>
  <c r="B5" i="12"/>
  <c r="D4" i="12"/>
  <c r="C4" i="12"/>
  <c r="B4" i="12"/>
  <c r="D3" i="12"/>
  <c r="C3" i="12"/>
  <c r="B3" i="12"/>
  <c r="D2" i="12"/>
  <c r="C2" i="12"/>
  <c r="B2" i="12"/>
  <c r="E4" i="12" l="1"/>
  <c r="E5" i="12"/>
  <c r="E6" i="12"/>
  <c r="E3" i="12"/>
  <c r="E2" i="12"/>
  <c r="C7" i="12"/>
  <c r="D7" i="12"/>
  <c r="B7" i="12"/>
  <c r="D3" i="11"/>
  <c r="D4" i="11"/>
  <c r="C4" i="11"/>
  <c r="C3" i="11"/>
  <c r="D2" i="11"/>
  <c r="C2" i="11"/>
  <c r="E7" i="12" l="1"/>
  <c r="B2" i="11"/>
  <c r="B4" i="11"/>
  <c r="D5" i="11"/>
  <c r="B3" i="11"/>
  <c r="C5" i="11"/>
  <c r="D2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C6" i="9"/>
  <c r="B6" i="9"/>
  <c r="C18" i="9"/>
  <c r="B18" i="9"/>
  <c r="C17" i="9"/>
  <c r="B17" i="9"/>
  <c r="C16" i="9"/>
  <c r="B16" i="9"/>
  <c r="C15" i="9"/>
  <c r="B15" i="9"/>
  <c r="C14" i="9"/>
  <c r="B14" i="9"/>
  <c r="C13" i="9"/>
  <c r="B13" i="9"/>
  <c r="C12" i="9"/>
  <c r="B12" i="9"/>
  <c r="C11" i="9"/>
  <c r="B11" i="9"/>
  <c r="C10" i="9"/>
  <c r="B10" i="9"/>
  <c r="C9" i="9"/>
  <c r="B9" i="9"/>
  <c r="C8" i="9"/>
  <c r="B8" i="9"/>
  <c r="C7" i="9"/>
  <c r="B7" i="9"/>
  <c r="C5" i="9"/>
  <c r="B5" i="9"/>
  <c r="C4" i="9"/>
  <c r="B4" i="9"/>
  <c r="C3" i="9"/>
  <c r="B3" i="9"/>
  <c r="C2" i="9"/>
  <c r="B2" i="9"/>
  <c r="B5" i="11" l="1"/>
  <c r="E2" i="9"/>
  <c r="E6" i="9"/>
  <c r="E10" i="9"/>
  <c r="E14" i="9"/>
  <c r="E18" i="9"/>
  <c r="E5" i="9"/>
  <c r="E9" i="9"/>
  <c r="E13" i="9"/>
  <c r="E17" i="9"/>
  <c r="C19" i="9"/>
  <c r="E16" i="9"/>
  <c r="D19" i="9"/>
  <c r="E4" i="9"/>
  <c r="E8" i="9"/>
  <c r="E12" i="9"/>
  <c r="E3" i="9"/>
  <c r="E7" i="9"/>
  <c r="E11" i="9"/>
  <c r="E15" i="9"/>
  <c r="B19" i="9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E19" i="9" l="1"/>
  <c r="Q28" i="5"/>
  <c r="Q27" i="5"/>
  <c r="Q22" i="5"/>
  <c r="Q20" i="5"/>
  <c r="Q19" i="5"/>
  <c r="Q8" i="5"/>
  <c r="Q7" i="5"/>
  <c r="D27" i="4"/>
  <c r="C27" i="4"/>
  <c r="B27" i="4"/>
  <c r="D26" i="4"/>
  <c r="C26" i="4"/>
  <c r="B26" i="4"/>
  <c r="D21" i="4"/>
  <c r="C21" i="4"/>
  <c r="B21" i="4"/>
  <c r="D19" i="4"/>
  <c r="C19" i="4"/>
  <c r="B19" i="4"/>
  <c r="D18" i="4"/>
  <c r="C18" i="4"/>
  <c r="B18" i="4"/>
  <c r="D7" i="4"/>
  <c r="C7" i="4"/>
  <c r="B7" i="4"/>
  <c r="E27" i="4" l="1"/>
  <c r="E26" i="4"/>
  <c r="E21" i="4"/>
  <c r="E19" i="4"/>
  <c r="E18" i="4"/>
  <c r="E7" i="4"/>
  <c r="B2" i="3"/>
  <c r="P30" i="5" l="1"/>
  <c r="P29" i="5"/>
  <c r="P26" i="5"/>
  <c r="P25" i="5"/>
  <c r="P24" i="5"/>
  <c r="P23" i="5"/>
  <c r="P21" i="5"/>
  <c r="P18" i="5"/>
  <c r="P17" i="5"/>
  <c r="P16" i="5"/>
  <c r="P15" i="5"/>
  <c r="P14" i="5"/>
  <c r="P13" i="5"/>
  <c r="P12" i="5"/>
  <c r="P11" i="5"/>
  <c r="P10" i="5"/>
  <c r="P9" i="5"/>
  <c r="P6" i="5"/>
  <c r="P5" i="5"/>
  <c r="P4" i="5"/>
  <c r="P3" i="5"/>
  <c r="P2" i="5"/>
  <c r="O30" i="5"/>
  <c r="O29" i="5"/>
  <c r="O26" i="5"/>
  <c r="O25" i="5"/>
  <c r="O24" i="5"/>
  <c r="O23" i="5"/>
  <c r="O21" i="5"/>
  <c r="O18" i="5"/>
  <c r="O17" i="5"/>
  <c r="O16" i="5"/>
  <c r="O15" i="5"/>
  <c r="O14" i="5"/>
  <c r="O13" i="5"/>
  <c r="O12" i="5"/>
  <c r="O11" i="5"/>
  <c r="O10" i="5"/>
  <c r="O9" i="5"/>
  <c r="O6" i="5"/>
  <c r="O5" i="5"/>
  <c r="O4" i="5"/>
  <c r="O3" i="5"/>
  <c r="O2" i="5"/>
  <c r="N30" i="5"/>
  <c r="N29" i="5"/>
  <c r="N26" i="5"/>
  <c r="N25" i="5"/>
  <c r="N24" i="5"/>
  <c r="N23" i="5"/>
  <c r="N21" i="5"/>
  <c r="N18" i="5"/>
  <c r="N17" i="5"/>
  <c r="N16" i="5"/>
  <c r="N15" i="5"/>
  <c r="N14" i="5"/>
  <c r="N13" i="5"/>
  <c r="N12" i="5"/>
  <c r="N11" i="5"/>
  <c r="N10" i="5"/>
  <c r="N9" i="5"/>
  <c r="N6" i="5"/>
  <c r="N5" i="5"/>
  <c r="N4" i="5"/>
  <c r="N3" i="5"/>
  <c r="N2" i="5"/>
  <c r="M30" i="5"/>
  <c r="M29" i="5"/>
  <c r="M26" i="5"/>
  <c r="M25" i="5"/>
  <c r="M24" i="5"/>
  <c r="M23" i="5"/>
  <c r="M21" i="5"/>
  <c r="M18" i="5"/>
  <c r="M17" i="5"/>
  <c r="M16" i="5"/>
  <c r="M15" i="5"/>
  <c r="M14" i="5"/>
  <c r="M13" i="5"/>
  <c r="M12" i="5"/>
  <c r="M11" i="5"/>
  <c r="M10" i="5"/>
  <c r="M9" i="5"/>
  <c r="M6" i="5"/>
  <c r="M5" i="5"/>
  <c r="M4" i="5"/>
  <c r="M3" i="5"/>
  <c r="M2" i="5"/>
  <c r="L30" i="5"/>
  <c r="L29" i="5"/>
  <c r="L26" i="5"/>
  <c r="L25" i="5"/>
  <c r="L24" i="5"/>
  <c r="L23" i="5"/>
  <c r="L21" i="5"/>
  <c r="L18" i="5"/>
  <c r="L17" i="5"/>
  <c r="L16" i="5"/>
  <c r="L15" i="5"/>
  <c r="L14" i="5"/>
  <c r="L13" i="5"/>
  <c r="L12" i="5"/>
  <c r="L11" i="5"/>
  <c r="L10" i="5"/>
  <c r="L9" i="5"/>
  <c r="L6" i="5"/>
  <c r="L5" i="5"/>
  <c r="L4" i="5"/>
  <c r="L3" i="5"/>
  <c r="L2" i="5"/>
  <c r="K30" i="5"/>
  <c r="K29" i="5"/>
  <c r="K26" i="5"/>
  <c r="K25" i="5"/>
  <c r="K24" i="5"/>
  <c r="K23" i="5"/>
  <c r="K21" i="5"/>
  <c r="K18" i="5"/>
  <c r="K17" i="5"/>
  <c r="K16" i="5"/>
  <c r="K15" i="5"/>
  <c r="K14" i="5"/>
  <c r="K13" i="5"/>
  <c r="K12" i="5"/>
  <c r="K11" i="5"/>
  <c r="K10" i="5"/>
  <c r="K9" i="5"/>
  <c r="K6" i="5"/>
  <c r="K5" i="5"/>
  <c r="K4" i="5"/>
  <c r="K3" i="5"/>
  <c r="K2" i="5"/>
  <c r="J30" i="5"/>
  <c r="J29" i="5"/>
  <c r="J26" i="5"/>
  <c r="J25" i="5"/>
  <c r="J24" i="5"/>
  <c r="J23" i="5"/>
  <c r="J21" i="5"/>
  <c r="J18" i="5"/>
  <c r="J17" i="5"/>
  <c r="J16" i="5"/>
  <c r="J15" i="5"/>
  <c r="J14" i="5"/>
  <c r="J13" i="5"/>
  <c r="J12" i="5"/>
  <c r="J11" i="5"/>
  <c r="J10" i="5"/>
  <c r="J9" i="5"/>
  <c r="J6" i="5"/>
  <c r="J5" i="5"/>
  <c r="J4" i="5"/>
  <c r="J3" i="5"/>
  <c r="J2" i="5"/>
  <c r="I30" i="5"/>
  <c r="I29" i="5"/>
  <c r="I26" i="5"/>
  <c r="I25" i="5"/>
  <c r="I24" i="5"/>
  <c r="I23" i="5"/>
  <c r="I21" i="5"/>
  <c r="I18" i="5"/>
  <c r="I17" i="5"/>
  <c r="I16" i="5"/>
  <c r="I15" i="5"/>
  <c r="I14" i="5"/>
  <c r="I13" i="5"/>
  <c r="I12" i="5"/>
  <c r="I11" i="5"/>
  <c r="I10" i="5"/>
  <c r="I9" i="5"/>
  <c r="I6" i="5"/>
  <c r="I5" i="5"/>
  <c r="I4" i="5"/>
  <c r="I3" i="5"/>
  <c r="I2" i="5"/>
  <c r="H30" i="5"/>
  <c r="H29" i="5"/>
  <c r="H26" i="5"/>
  <c r="H25" i="5"/>
  <c r="H24" i="5"/>
  <c r="H23" i="5"/>
  <c r="H21" i="5"/>
  <c r="H18" i="5"/>
  <c r="H17" i="5"/>
  <c r="H16" i="5"/>
  <c r="H15" i="5"/>
  <c r="H14" i="5"/>
  <c r="H13" i="5"/>
  <c r="H12" i="5"/>
  <c r="H11" i="5"/>
  <c r="H10" i="5"/>
  <c r="H9" i="5"/>
  <c r="H6" i="5"/>
  <c r="H5" i="5"/>
  <c r="H4" i="5"/>
  <c r="H3" i="5"/>
  <c r="H2" i="5"/>
  <c r="G30" i="5"/>
  <c r="G29" i="5"/>
  <c r="G26" i="5"/>
  <c r="G25" i="5"/>
  <c r="G24" i="5"/>
  <c r="G23" i="5"/>
  <c r="G21" i="5"/>
  <c r="G18" i="5"/>
  <c r="G17" i="5"/>
  <c r="G16" i="5"/>
  <c r="G15" i="5"/>
  <c r="G14" i="5"/>
  <c r="G13" i="5"/>
  <c r="G12" i="5"/>
  <c r="G11" i="5"/>
  <c r="G10" i="5"/>
  <c r="G9" i="5"/>
  <c r="G6" i="5"/>
  <c r="G5" i="5"/>
  <c r="G4" i="5"/>
  <c r="G3" i="5"/>
  <c r="G2" i="5"/>
  <c r="F30" i="5"/>
  <c r="F29" i="5"/>
  <c r="F26" i="5"/>
  <c r="F25" i="5"/>
  <c r="F24" i="5"/>
  <c r="F23" i="5"/>
  <c r="F21" i="5"/>
  <c r="F18" i="5"/>
  <c r="F17" i="5"/>
  <c r="F16" i="5"/>
  <c r="F15" i="5"/>
  <c r="F14" i="5"/>
  <c r="F13" i="5"/>
  <c r="F12" i="5"/>
  <c r="F11" i="5"/>
  <c r="F10" i="5"/>
  <c r="F9" i="5"/>
  <c r="F6" i="5"/>
  <c r="F5" i="5"/>
  <c r="F4" i="5"/>
  <c r="F3" i="5"/>
  <c r="F2" i="5"/>
  <c r="E30" i="5"/>
  <c r="E29" i="5"/>
  <c r="E26" i="5"/>
  <c r="E25" i="5"/>
  <c r="E24" i="5"/>
  <c r="E23" i="5"/>
  <c r="E21" i="5"/>
  <c r="E18" i="5"/>
  <c r="E17" i="5"/>
  <c r="E16" i="5"/>
  <c r="E15" i="5"/>
  <c r="E14" i="5"/>
  <c r="E13" i="5"/>
  <c r="E12" i="5"/>
  <c r="E11" i="5"/>
  <c r="E10" i="5"/>
  <c r="E9" i="5"/>
  <c r="E6" i="5"/>
  <c r="E5" i="5"/>
  <c r="E4" i="5"/>
  <c r="E3" i="5"/>
  <c r="E2" i="5"/>
  <c r="F31" i="5" l="1"/>
  <c r="E31" i="5"/>
  <c r="D30" i="5"/>
  <c r="D29" i="5"/>
  <c r="D26" i="5"/>
  <c r="D25" i="5"/>
  <c r="D24" i="5"/>
  <c r="D23" i="5"/>
  <c r="D21" i="5"/>
  <c r="D18" i="5"/>
  <c r="D17" i="5"/>
  <c r="D16" i="5"/>
  <c r="D15" i="5"/>
  <c r="D14" i="5"/>
  <c r="D13" i="5"/>
  <c r="D12" i="5"/>
  <c r="D11" i="5"/>
  <c r="D10" i="5"/>
  <c r="D9" i="5"/>
  <c r="D6" i="5"/>
  <c r="D5" i="5"/>
  <c r="D4" i="5"/>
  <c r="D3" i="5"/>
  <c r="D2" i="5"/>
  <c r="C30" i="5"/>
  <c r="C29" i="5"/>
  <c r="C26" i="5"/>
  <c r="C25" i="5"/>
  <c r="C24" i="5"/>
  <c r="C23" i="5"/>
  <c r="C21" i="5"/>
  <c r="C18" i="5"/>
  <c r="C17" i="5"/>
  <c r="C16" i="5"/>
  <c r="C15" i="5"/>
  <c r="C14" i="5"/>
  <c r="C13" i="5"/>
  <c r="C12" i="5"/>
  <c r="C11" i="5"/>
  <c r="C10" i="5"/>
  <c r="C9" i="5"/>
  <c r="C6" i="5"/>
  <c r="C5" i="5"/>
  <c r="C4" i="5"/>
  <c r="C3" i="5"/>
  <c r="C2" i="5"/>
  <c r="B30" i="5"/>
  <c r="B29" i="5"/>
  <c r="B26" i="5"/>
  <c r="B25" i="5"/>
  <c r="B24" i="5"/>
  <c r="B23" i="5"/>
  <c r="B21" i="5"/>
  <c r="B18" i="5"/>
  <c r="B17" i="5"/>
  <c r="B16" i="5"/>
  <c r="B15" i="5"/>
  <c r="B14" i="5"/>
  <c r="B13" i="5"/>
  <c r="B12" i="5"/>
  <c r="B11" i="5"/>
  <c r="B10" i="5"/>
  <c r="B9" i="5"/>
  <c r="B6" i="5"/>
  <c r="B5" i="5"/>
  <c r="B4" i="5"/>
  <c r="B3" i="5"/>
  <c r="B2" i="5"/>
  <c r="D29" i="4"/>
  <c r="D28" i="4"/>
  <c r="D25" i="4"/>
  <c r="D24" i="4"/>
  <c r="D23" i="4"/>
  <c r="D22" i="4"/>
  <c r="D20" i="4"/>
  <c r="D17" i="4"/>
  <c r="D16" i="4"/>
  <c r="D15" i="4"/>
  <c r="D14" i="4"/>
  <c r="D13" i="4"/>
  <c r="D12" i="4"/>
  <c r="D11" i="4"/>
  <c r="D10" i="4"/>
  <c r="D9" i="4"/>
  <c r="D8" i="4"/>
  <c r="D6" i="4"/>
  <c r="D5" i="4"/>
  <c r="D4" i="4"/>
  <c r="D3" i="4"/>
  <c r="C29" i="4"/>
  <c r="C28" i="4"/>
  <c r="C25" i="4"/>
  <c r="C24" i="4"/>
  <c r="C23" i="4"/>
  <c r="C22" i="4"/>
  <c r="C20" i="4"/>
  <c r="C17" i="4"/>
  <c r="C16" i="4"/>
  <c r="C15" i="4"/>
  <c r="C14" i="4"/>
  <c r="C13" i="4"/>
  <c r="C12" i="4"/>
  <c r="C11" i="4"/>
  <c r="C10" i="4"/>
  <c r="C9" i="4"/>
  <c r="C8" i="4"/>
  <c r="C6" i="4"/>
  <c r="C5" i="4"/>
  <c r="C4" i="4"/>
  <c r="B29" i="4"/>
  <c r="B28" i="4"/>
  <c r="B25" i="4"/>
  <c r="B24" i="4"/>
  <c r="B23" i="4"/>
  <c r="B22" i="4"/>
  <c r="B20" i="4"/>
  <c r="B17" i="4"/>
  <c r="B16" i="4"/>
  <c r="B15" i="4"/>
  <c r="B14" i="4"/>
  <c r="B13" i="4"/>
  <c r="B12" i="4"/>
  <c r="B11" i="4"/>
  <c r="B10" i="4"/>
  <c r="B9" i="4"/>
  <c r="B8" i="4"/>
  <c r="B6" i="4"/>
  <c r="B5" i="4"/>
  <c r="B4" i="4"/>
  <c r="C3" i="4"/>
  <c r="B3" i="4"/>
  <c r="G31" i="5"/>
  <c r="H31" i="5"/>
  <c r="I31" i="5"/>
  <c r="J31" i="5"/>
  <c r="K31" i="5"/>
  <c r="L31" i="5"/>
  <c r="M31" i="5"/>
  <c r="N31" i="5"/>
  <c r="O31" i="5"/>
  <c r="P31" i="5"/>
  <c r="D2" i="4"/>
  <c r="C2" i="4"/>
  <c r="B2" i="4"/>
  <c r="Q2" i="5" l="1"/>
  <c r="D31" i="5"/>
  <c r="C31" i="5"/>
  <c r="Q4" i="5"/>
  <c r="Q6" i="5"/>
  <c r="Q10" i="5"/>
  <c r="Q12" i="5"/>
  <c r="Q14" i="5"/>
  <c r="Q16" i="5"/>
  <c r="Q18" i="5"/>
  <c r="Q21" i="5"/>
  <c r="Q24" i="5"/>
  <c r="Q29" i="5"/>
  <c r="Q3" i="5"/>
  <c r="Q5" i="5"/>
  <c r="Q9" i="5"/>
  <c r="Q11" i="5"/>
  <c r="Q13" i="5"/>
  <c r="Q15" i="5"/>
  <c r="Q17" i="5"/>
  <c r="Q23" i="5"/>
  <c r="Q25" i="5"/>
  <c r="Q26" i="5"/>
  <c r="Q30" i="5"/>
  <c r="B31" i="5"/>
  <c r="E29" i="4"/>
  <c r="E28" i="4"/>
  <c r="E25" i="4"/>
  <c r="E24" i="4"/>
  <c r="E23" i="4"/>
  <c r="E22" i="4"/>
  <c r="E20" i="4"/>
  <c r="E16" i="4"/>
  <c r="E15" i="4"/>
  <c r="E14" i="4"/>
  <c r="E13" i="4"/>
  <c r="E12" i="4"/>
  <c r="E11" i="4"/>
  <c r="E10" i="4"/>
  <c r="E9" i="4"/>
  <c r="E8" i="4"/>
  <c r="E6" i="4"/>
  <c r="E5" i="4"/>
  <c r="E4" i="4"/>
  <c r="E3" i="4"/>
  <c r="C30" i="4"/>
  <c r="D30" i="4"/>
  <c r="E17" i="4"/>
  <c r="B30" i="4"/>
  <c r="E2" i="4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2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C2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Q31" i="5" l="1"/>
  <c r="E30" i="4"/>
  <c r="B17" i="3"/>
  <c r="E14" i="3"/>
  <c r="E13" i="3"/>
  <c r="E12" i="3"/>
  <c r="E11" i="3"/>
  <c r="E10" i="3"/>
  <c r="E9" i="3"/>
  <c r="E8" i="3"/>
  <c r="E7" i="3"/>
  <c r="E6" i="3"/>
  <c r="E5" i="3"/>
  <c r="E4" i="3"/>
  <c r="E3" i="3"/>
  <c r="E16" i="3"/>
  <c r="E15" i="3"/>
  <c r="E2" i="3"/>
  <c r="C17" i="3"/>
  <c r="D17" i="3"/>
  <c r="E17" i="3" l="1"/>
</calcChain>
</file>

<file path=xl/comments1.xml><?xml version="1.0" encoding="utf-8"?>
<comments xmlns="http://schemas.openxmlformats.org/spreadsheetml/2006/main">
  <authors>
    <author>Kaimar Eilo</author>
    <author>Windowsi kasutaja</author>
  </authors>
  <commentList>
    <comment ref="L77" authorId="0" shapeId="0">
      <text>
        <r>
          <rPr>
            <b/>
            <sz val="9"/>
            <color indexed="81"/>
            <rFont val="Tahoma"/>
            <family val="2"/>
            <charset val="186"/>
          </rPr>
          <t>Kaimar Eilo:</t>
        </r>
        <r>
          <rPr>
            <sz val="9"/>
            <color indexed="81"/>
            <rFont val="Tahoma"/>
            <family val="2"/>
            <charset val="186"/>
          </rPr>
          <t xml:space="preserve">
Teavitamisraadius 500m</t>
        </r>
      </text>
    </comment>
    <comment ref="L78" authorId="1" shapeId="0">
      <text>
        <r>
          <rPr>
            <b/>
            <sz val="9"/>
            <color indexed="81"/>
            <rFont val="Tahoma"/>
            <family val="2"/>
            <charset val="186"/>
          </rPr>
          <t>Windowsi kasutaja:</t>
        </r>
        <r>
          <rPr>
            <sz val="9"/>
            <color indexed="81"/>
            <rFont val="Tahoma"/>
            <family val="2"/>
            <charset val="186"/>
          </rPr>
          <t xml:space="preserve">
Õnnetuse korral evakueerida 500m
</t>
        </r>
      </text>
    </comment>
    <comment ref="L103" authorId="1" shapeId="0">
      <text>
        <r>
          <rPr>
            <b/>
            <sz val="9"/>
            <color indexed="81"/>
            <rFont val="Tahoma"/>
            <family val="2"/>
            <charset val="186"/>
          </rPr>
          <t>Windowsi kasutaja:</t>
        </r>
        <r>
          <rPr>
            <sz val="9"/>
            <color indexed="81"/>
            <rFont val="Tahoma"/>
            <family val="2"/>
            <charset val="186"/>
          </rPr>
          <t xml:space="preserve">
Vajadusel kaaluda evakuatsiooni ala 800m</t>
        </r>
      </text>
    </comment>
    <comment ref="Y163" authorId="1" shapeId="0">
      <text>
        <r>
          <rPr>
            <b/>
            <sz val="9"/>
            <color indexed="81"/>
            <rFont val="Tahoma"/>
            <family val="2"/>
            <charset val="186"/>
          </rPr>
          <t>Windowsi kasutaja:</t>
        </r>
        <r>
          <rPr>
            <sz val="9"/>
            <color indexed="81"/>
            <rFont val="Tahoma"/>
            <family val="2"/>
            <charset val="186"/>
          </rPr>
          <t xml:space="preserve">
ladu 02-13
tehas 03-13
16.10.2013</t>
        </r>
      </text>
    </comment>
    <comment ref="L239" authorId="0" shapeId="0">
      <text>
        <r>
          <rPr>
            <b/>
            <sz val="9"/>
            <color indexed="81"/>
            <rFont val="Tahoma"/>
            <family val="2"/>
            <charset val="186"/>
          </rPr>
          <t>Kaimar Eilo:</t>
        </r>
        <r>
          <rPr>
            <sz val="9"/>
            <color indexed="81"/>
            <rFont val="Tahoma"/>
            <family val="2"/>
            <charset val="186"/>
          </rPr>
          <t xml:space="preserve">
Teavitamise ohuala 300</t>
        </r>
      </text>
    </comment>
    <comment ref="L240" authorId="0" shapeId="0">
      <text>
        <r>
          <rPr>
            <b/>
            <sz val="9"/>
            <color indexed="81"/>
            <rFont val="Tahoma"/>
            <family val="2"/>
            <charset val="186"/>
          </rPr>
          <t>Kaimar Eilo:</t>
        </r>
        <r>
          <rPr>
            <sz val="9"/>
            <color indexed="81"/>
            <rFont val="Tahoma"/>
            <family val="2"/>
            <charset val="186"/>
          </rPr>
          <t xml:space="preserve">
Teavitamise ohuala 300</t>
        </r>
      </text>
    </comment>
    <comment ref="L241" authorId="0" shapeId="0">
      <text>
        <r>
          <rPr>
            <b/>
            <sz val="9"/>
            <color indexed="81"/>
            <rFont val="Tahoma"/>
            <family val="2"/>
            <charset val="186"/>
          </rPr>
          <t>Kaimar Eilo:</t>
        </r>
        <r>
          <rPr>
            <sz val="9"/>
            <color indexed="81"/>
            <rFont val="Tahoma"/>
            <family val="2"/>
            <charset val="186"/>
          </rPr>
          <t xml:space="preserve">
Teavitamise ohuala 300
</t>
        </r>
      </text>
    </comment>
  </commentList>
</comments>
</file>

<file path=xl/sharedStrings.xml><?xml version="1.0" encoding="utf-8"?>
<sst xmlns="http://schemas.openxmlformats.org/spreadsheetml/2006/main" count="5058" uniqueCount="1450">
  <si>
    <t>OKK-33-11</t>
  </si>
  <si>
    <t>OKK-32-11</t>
  </si>
  <si>
    <t>OKK-31-11</t>
  </si>
  <si>
    <t>Viljandi Naftabaas OÜ</t>
  </si>
  <si>
    <t>OKK-30-11</t>
  </si>
  <si>
    <t>TARTU TERMINAAL AS</t>
  </si>
  <si>
    <t>Henkel Makroflex AS</t>
  </si>
  <si>
    <t>OKK-28-11</t>
  </si>
  <si>
    <t>Baltic Tank AS</t>
  </si>
  <si>
    <t>OKK-27-11</t>
  </si>
  <si>
    <t>OKK-25-11</t>
  </si>
  <si>
    <t>Narva Vesi AS</t>
  </si>
  <si>
    <t>BCT AS</t>
  </si>
  <si>
    <t>OKK-23-11</t>
  </si>
  <si>
    <t>Vesta Terminal Tallinn OÜ</t>
  </si>
  <si>
    <t>OKK-22-11</t>
  </si>
  <si>
    <t>OKK-21-11</t>
  </si>
  <si>
    <t>OKK-20-11</t>
  </si>
  <si>
    <t>OKK-19-11</t>
  </si>
  <si>
    <t>OKK-18-11</t>
  </si>
  <si>
    <t>REOLA GAAS AS</t>
  </si>
  <si>
    <t>OKK-17-11</t>
  </si>
  <si>
    <t>Recticel OÜ</t>
  </si>
  <si>
    <t>OKK-16-11</t>
  </si>
  <si>
    <t>Propaan AS</t>
  </si>
  <si>
    <t>PETKAM AS</t>
  </si>
  <si>
    <t>OKK-14-11</t>
  </si>
  <si>
    <t>OKK-13-11</t>
  </si>
  <si>
    <t>OKK-12-11</t>
  </si>
  <si>
    <t>NCC &amp; PO AS</t>
  </si>
  <si>
    <t>OKK-11-11</t>
  </si>
  <si>
    <t>Milstrand AS</t>
  </si>
  <si>
    <t>OKK-10-11</t>
  </si>
  <si>
    <t>Maardu Terminal AS</t>
  </si>
  <si>
    <t>OKK-09-11</t>
  </si>
  <si>
    <t>Kroodi Terminal AS</t>
  </si>
  <si>
    <t>OKK-08-11</t>
  </si>
  <si>
    <t>KRIMELTE OÜ</t>
  </si>
  <si>
    <t>OKK-07-11</t>
  </si>
  <si>
    <t>Hromium OÜ</t>
  </si>
  <si>
    <t>OKK-05-11</t>
  </si>
  <si>
    <t>Dekoil OÜ</t>
  </si>
  <si>
    <t>OKK-04-11</t>
  </si>
  <si>
    <t>DBT AS</t>
  </si>
  <si>
    <t>OKK-03-11</t>
  </si>
  <si>
    <t>BLRT Transiit OÜ</t>
  </si>
  <si>
    <t>OKK-02-11</t>
  </si>
  <si>
    <t>Agrochema Eesti OÜ</t>
  </si>
  <si>
    <t>OKK-01-11</t>
  </si>
  <si>
    <t>Alexela Terminal AS</t>
  </si>
  <si>
    <t>Käitis</t>
  </si>
  <si>
    <t>Maakond</t>
  </si>
  <si>
    <t>Linn</t>
  </si>
  <si>
    <t>Vald</t>
  </si>
  <si>
    <t>Küla</t>
  </si>
  <si>
    <t>Aadress</t>
  </si>
  <si>
    <t>Harjumaa</t>
  </si>
  <si>
    <t>Maardu</t>
  </si>
  <si>
    <t>Kroodi 2</t>
  </si>
  <si>
    <t>Luba</t>
  </si>
  <si>
    <t>Loa kp</t>
  </si>
  <si>
    <t>Ida-Virumaa</t>
  </si>
  <si>
    <t>Vaivara</t>
  </si>
  <si>
    <t>Vana-Narva mnt 28a</t>
  </si>
  <si>
    <t>Muuga</t>
  </si>
  <si>
    <t>Vilja 7</t>
  </si>
  <si>
    <t>Viljandimaa</t>
  </si>
  <si>
    <t>Viljandi</t>
  </si>
  <si>
    <t>Reinu tee 18</t>
  </si>
  <si>
    <t>Tartumaa</t>
  </si>
  <si>
    <t>Tartu</t>
  </si>
  <si>
    <t>Kärkna</t>
  </si>
  <si>
    <t>Pärnumaa</t>
  </si>
  <si>
    <t>Pärnu</t>
  </si>
  <si>
    <t>Savi 12</t>
  </si>
  <si>
    <t>Lääne-Virumaa</t>
  </si>
  <si>
    <t>Kunda</t>
  </si>
  <si>
    <t>Uus-Sadama tee 2</t>
  </si>
  <si>
    <t>Sillamäe</t>
  </si>
  <si>
    <t>Kesk 2a</t>
  </si>
  <si>
    <t>Auvere</t>
  </si>
  <si>
    <t>Narva</t>
  </si>
  <si>
    <t>Kulgu 1</t>
  </si>
  <si>
    <t>Kesk 2C</t>
  </si>
  <si>
    <t>Õli 3</t>
  </si>
  <si>
    <t>Peterburi tee 105</t>
  </si>
  <si>
    <t>Vana-Narva mnt 27A</t>
  </si>
  <si>
    <t>Lasti tee 20</t>
  </si>
  <si>
    <t>Tallinn</t>
  </si>
  <si>
    <t>Järvevana tee 3</t>
  </si>
  <si>
    <t>Kambja</t>
  </si>
  <si>
    <t>Vana-Kuuste</t>
  </si>
  <si>
    <t>Peterburi tee 48A</t>
  </si>
  <si>
    <t>Gaasi 8</t>
  </si>
  <si>
    <t>Kroodi 4</t>
  </si>
  <si>
    <t>Õli 7</t>
  </si>
  <si>
    <t>Lasti tee 18</t>
  </si>
  <si>
    <t>Lao 14</t>
  </si>
  <si>
    <t>Miiduranna</t>
  </si>
  <si>
    <t>Randvere tee 5</t>
  </si>
  <si>
    <t>Lao 29</t>
  </si>
  <si>
    <t>Üleoru tee 1</t>
  </si>
  <si>
    <t>Suur-Paala 10</t>
  </si>
  <si>
    <t>Lao 21</t>
  </si>
  <si>
    <t>Kopli 103B</t>
  </si>
  <si>
    <t>Koorma 13a</t>
  </si>
  <si>
    <t>Kopli 103</t>
  </si>
  <si>
    <t>Jõgevamaa</t>
  </si>
  <si>
    <t>Jõgeva</t>
  </si>
  <si>
    <t>Turu 7a</t>
  </si>
  <si>
    <t>Paldiski</t>
  </si>
  <si>
    <t>Rae põik 6</t>
  </si>
  <si>
    <t>B</t>
  </si>
  <si>
    <t>C</t>
  </si>
  <si>
    <t>A</t>
  </si>
  <si>
    <t>KAT</t>
  </si>
  <si>
    <t>TL kp</t>
  </si>
  <si>
    <t>TL asi</t>
  </si>
  <si>
    <t>RA asi</t>
  </si>
  <si>
    <t>RA kp</t>
  </si>
  <si>
    <t>HOLP asi</t>
  </si>
  <si>
    <t>HOLP kp</t>
  </si>
  <si>
    <t>OTS asi</t>
  </si>
  <si>
    <t>OTS kp</t>
  </si>
  <si>
    <t>OA asi</t>
  </si>
  <si>
    <t>OA kp</t>
  </si>
  <si>
    <t xml:space="preserve">Tallinn </t>
  </si>
  <si>
    <t>Balbiino AS</t>
  </si>
  <si>
    <t>Ääsmäe</t>
  </si>
  <si>
    <t>Eesti Energia AS Iru Elektrijaam</t>
  </si>
  <si>
    <t>Keila</t>
  </si>
  <si>
    <t>Põhja 27</t>
  </si>
  <si>
    <t>Eskaro AS</t>
  </si>
  <si>
    <t>Fosforiidi 20</t>
  </si>
  <si>
    <t>Karjaküla</t>
  </si>
  <si>
    <t>Galv-Est AS</t>
  </si>
  <si>
    <t>Kiiu</t>
  </si>
  <si>
    <t>Betooni 3</t>
  </si>
  <si>
    <t>High Tech Recycling OÜ</t>
  </si>
  <si>
    <t>Horizon Tselluloosi ja Paberi AS</t>
  </si>
  <si>
    <t>Juveel OÜ</t>
  </si>
  <si>
    <t>Kadaka tee 36</t>
  </si>
  <si>
    <t>Keemiakaubandus AS</t>
  </si>
  <si>
    <t>Loksa</t>
  </si>
  <si>
    <t>Tallinna 2</t>
  </si>
  <si>
    <t>Mistra-Autex AS</t>
  </si>
  <si>
    <t>Raasiku</t>
  </si>
  <si>
    <t>Paju 2</t>
  </si>
  <si>
    <t>Nordic Group OÜ</t>
  </si>
  <si>
    <t>Betooni 1b</t>
  </si>
  <si>
    <t>Norma AS</t>
  </si>
  <si>
    <t>Laki 14</t>
  </si>
  <si>
    <t>Paldiski Tsingipada AS</t>
  </si>
  <si>
    <t>Jaama 6c</t>
  </si>
  <si>
    <t>Paljassaare tee 30</t>
  </si>
  <si>
    <t>Betooni 4</t>
  </si>
  <si>
    <t>Peterburi tee 42</t>
  </si>
  <si>
    <t>Saku Õlletehas AS</t>
  </si>
  <si>
    <t>Sütiste tee 1</t>
  </si>
  <si>
    <t>Tallinna Vesi AS Reoveepuhastusjaam</t>
  </si>
  <si>
    <t>Paljassaare põik 14</t>
  </si>
  <si>
    <t>Tikkurila AS</t>
  </si>
  <si>
    <t>Liimi 5</t>
  </si>
  <si>
    <t>Viking Life-Saving Equipment AS</t>
  </si>
  <si>
    <t>Harku</t>
  </si>
  <si>
    <t>Rae</t>
  </si>
  <si>
    <t>Saue</t>
  </si>
  <si>
    <t>Kuusalu</t>
  </si>
  <si>
    <t>Nissi</t>
  </si>
  <si>
    <t>Anija</t>
  </si>
  <si>
    <t>Viimsi</t>
  </si>
  <si>
    <t>Saku</t>
  </si>
  <si>
    <t>Jõelähtme</t>
  </si>
  <si>
    <t>Tabasalu</t>
  </si>
  <si>
    <t>Lehmja</t>
  </si>
  <si>
    <t>Janika</t>
  </si>
  <si>
    <t>Kehra</t>
  </si>
  <si>
    <t>Tallinna mnt. 2</t>
  </si>
  <si>
    <t>Loo</t>
  </si>
  <si>
    <t>Sütemetsa tee 56</t>
  </si>
  <si>
    <t>Betooni 6</t>
  </si>
  <si>
    <t>Tegevus</t>
  </si>
  <si>
    <t>Terminal</t>
  </si>
  <si>
    <t>Väetised</t>
  </si>
  <si>
    <t>Põlevkiviõli</t>
  </si>
  <si>
    <t>Vahud</t>
  </si>
  <si>
    <t>Kroom</t>
  </si>
  <si>
    <t>Kloor</t>
  </si>
  <si>
    <t>Gaas</t>
  </si>
  <si>
    <t>Vopak E.O.S. AS (Pakterminal)</t>
  </si>
  <si>
    <t>Vopak E.O.S. AS (Stivterminal)</t>
  </si>
  <si>
    <t>Vopak E.O.S. AS (Trendgate)</t>
  </si>
  <si>
    <t>Vopak E.O.S. AS (Termoil)</t>
  </si>
  <si>
    <t>Külmhoone</t>
  </si>
  <si>
    <t>Alexela Sillamäe AS (põhiterritoorium)</t>
  </si>
  <si>
    <t>Alexela Sillamäe AS (sisepark)</t>
  </si>
  <si>
    <t>Hansa Ilutulestikud OÜ</t>
  </si>
  <si>
    <t>Ilutulestiku Keskus Arnika OÜ</t>
  </si>
  <si>
    <t>Kiviõli Keemiatööstuse OÜ</t>
  </si>
  <si>
    <t>L.KKL.IV-171223</t>
  </si>
  <si>
    <t>Kunda Nordic Tsement AS</t>
  </si>
  <si>
    <t>Nitrofert AS</t>
  </si>
  <si>
    <t>L.KKL.IV-164366</t>
  </si>
  <si>
    <t>Galvaanika</t>
  </si>
  <si>
    <t>L.KKL.HA-230904</t>
  </si>
  <si>
    <t>Novotrade Invest AS</t>
  </si>
  <si>
    <t>L.KKL.IV-183588</t>
  </si>
  <si>
    <t>Orica Eesti OÜ</t>
  </si>
  <si>
    <t xml:space="preserve">L.KKL.IV-136083 </t>
  </si>
  <si>
    <t>Ruf Eesti AS</t>
  </si>
  <si>
    <t>Molycorp Silmet AS</t>
  </si>
  <si>
    <t>Muldmetallid</t>
  </si>
  <si>
    <t xml:space="preserve">KKL/300272 </t>
  </si>
  <si>
    <t>Vasar OÜ</t>
  </si>
  <si>
    <t>L.KKL.HA-18826</t>
  </si>
  <si>
    <t>VKG Oil AS</t>
  </si>
  <si>
    <t>L.KKL.IV-198338</t>
  </si>
  <si>
    <t>12-0693</t>
  </si>
  <si>
    <t>Kesk 2p</t>
  </si>
  <si>
    <t>Kesk 2b, g, u</t>
  </si>
  <si>
    <t>Saarepeedi</t>
  </si>
  <si>
    <t>Viiratsi</t>
  </si>
  <si>
    <t>Vana-Võidu</t>
  </si>
  <si>
    <t>Noorkarja</t>
  </si>
  <si>
    <t>Orika-Sigala</t>
  </si>
  <si>
    <t>Kiviõli</t>
  </si>
  <si>
    <t>Turu 3</t>
  </si>
  <si>
    <t>Pürotehnika</t>
  </si>
  <si>
    <t>Lõhkematerjal</t>
  </si>
  <si>
    <t>Sõmeru</t>
  </si>
  <si>
    <t>Andja</t>
  </si>
  <si>
    <t>Lõhkeaine</t>
  </si>
  <si>
    <t>Võerdla</t>
  </si>
  <si>
    <t>Lõhkeainete ladu</t>
  </si>
  <si>
    <t>Kesk 2</t>
  </si>
  <si>
    <t>Kohtla-Järve</t>
  </si>
  <si>
    <t>Järveküla tee 1</t>
  </si>
  <si>
    <t>Keemia 2c-1</t>
  </si>
  <si>
    <t>Mustanina</t>
  </si>
  <si>
    <t>Sirgala baasladu</t>
  </si>
  <si>
    <t>Vana-Narva mnt 1</t>
  </si>
  <si>
    <t>11-1759</t>
  </si>
  <si>
    <t>Keemia 2</t>
  </si>
  <si>
    <t>VKG Energia OÜ Põhja SEJ</t>
  </si>
  <si>
    <t>VKG Energia OÜ Lõuna SEJ</t>
  </si>
  <si>
    <t>11-1412</t>
  </si>
  <si>
    <t>Elektriku 3</t>
  </si>
  <si>
    <t>Keemia 2a</t>
  </si>
  <si>
    <t>Airok OÜ</t>
  </si>
  <si>
    <t>Pärnu mnt 24a</t>
  </si>
  <si>
    <t>Katlamaja</t>
  </si>
  <si>
    <t>11-2075</t>
  </si>
  <si>
    <t>Hulgimüük</t>
  </si>
  <si>
    <t>Balsnack International Holding AS</t>
  </si>
  <si>
    <t>12-0754</t>
  </si>
  <si>
    <t>Bensoehape</t>
  </si>
  <si>
    <t>Uus-Tehase 8</t>
  </si>
  <si>
    <t>Silsteve AS</t>
  </si>
  <si>
    <t>Ehitajate 1k</t>
  </si>
  <si>
    <t>Saaremaa Lihatööstus AS</t>
  </si>
  <si>
    <t>Saaremaa</t>
  </si>
  <si>
    <t>Kuressaare</t>
  </si>
  <si>
    <t>Pikk 81</t>
  </si>
  <si>
    <t>Viru Õlu AS</t>
  </si>
  <si>
    <t>Haljala</t>
  </si>
  <si>
    <t>Rakvere mnt 7</t>
  </si>
  <si>
    <t>Kuressaare Soojus AS Luha katlamaja</t>
  </si>
  <si>
    <t>Kuressaare Soojus AS Kalevi katlamaja</t>
  </si>
  <si>
    <t>Luha 2a</t>
  </si>
  <si>
    <t>Kalevi 1a</t>
  </si>
  <si>
    <t>Põltsamaa</t>
  </si>
  <si>
    <t>12-0869</t>
  </si>
  <si>
    <t>Roodevälja</t>
  </si>
  <si>
    <t>Rakvere lihakombinaat</t>
  </si>
  <si>
    <t>Pariisi Tuled OÜ</t>
  </si>
  <si>
    <t>Rakvere</t>
  </si>
  <si>
    <t>Pikk 24b</t>
  </si>
  <si>
    <t>Autokeemia</t>
  </si>
  <si>
    <t>Eesti Kalapüügiühistu TÜH</t>
  </si>
  <si>
    <t>Audru</t>
  </si>
  <si>
    <t>Lemmetsa</t>
  </si>
  <si>
    <t>Akzo Nobel Baltics AS</t>
  </si>
  <si>
    <t>Värvid</t>
  </si>
  <si>
    <t>Raplamaa</t>
  </si>
  <si>
    <t>Rapla</t>
  </si>
  <si>
    <t>Kastani 7</t>
  </si>
  <si>
    <t>L.KKL.RA-19253</t>
  </si>
  <si>
    <t>APChemicals OÜ</t>
  </si>
  <si>
    <t>Vasula</t>
  </si>
  <si>
    <t>Lao</t>
  </si>
  <si>
    <t>12-0436</t>
  </si>
  <si>
    <t>Atria Eesti AS Valga tootmistsehh</t>
  </si>
  <si>
    <t>Valgamaa</t>
  </si>
  <si>
    <t>Valga</t>
  </si>
  <si>
    <t>Metsa 19</t>
  </si>
  <si>
    <t>Haasvala</t>
  </si>
  <si>
    <t>Ecometal AS</t>
  </si>
  <si>
    <t>Eesti Traalpüügi Ühistu (Paldiski Külmhoone)</t>
  </si>
  <si>
    <t>Elme Messer Gaas AS</t>
  </si>
  <si>
    <t>Estonian Cell AS</t>
  </si>
  <si>
    <t>Jaama 21</t>
  </si>
  <si>
    <t>Estonian Spirit OÜ</t>
  </si>
  <si>
    <t>Tapa</t>
  </si>
  <si>
    <t>EVR Cargo AS Tapa depoo</t>
  </si>
  <si>
    <t>Hommiku 31</t>
  </si>
  <si>
    <t>Järvamaa</t>
  </si>
  <si>
    <t>Elva</t>
  </si>
  <si>
    <t>Tööstuse 17</t>
  </si>
  <si>
    <t>KKL/318353</t>
  </si>
  <si>
    <t>Ingle AS Rapla ladu</t>
  </si>
  <si>
    <t>Kehtna</t>
  </si>
  <si>
    <t>Ingliste</t>
  </si>
  <si>
    <t>Ingle</t>
  </si>
  <si>
    <t>Valtu</t>
  </si>
  <si>
    <t>Kemotar OÜ</t>
  </si>
  <si>
    <t>Ravila 75</t>
  </si>
  <si>
    <t>Läänemaa</t>
  </si>
  <si>
    <t>Taebla</t>
  </si>
  <si>
    <t>Läätsa Kalatööstus AS</t>
  </si>
  <si>
    <t>Salme</t>
  </si>
  <si>
    <t>Läätsa</t>
  </si>
  <si>
    <t>Kalatööstuse</t>
  </si>
  <si>
    <t>Jõhvi</t>
  </si>
  <si>
    <t>Linda 15</t>
  </si>
  <si>
    <t>NB Oil Group OÜ</t>
  </si>
  <si>
    <t>Tankla</t>
  </si>
  <si>
    <t>Loo bensiinijaam</t>
  </si>
  <si>
    <t>Põlvamaa</t>
  </si>
  <si>
    <t>Põlva</t>
  </si>
  <si>
    <t>Jaama 20</t>
  </si>
  <si>
    <t>Pärnu Laht AS</t>
  </si>
  <si>
    <t>Roostiku 4</t>
  </si>
  <si>
    <t>Narva mnt 42</t>
  </si>
  <si>
    <t>Ülenurme</t>
  </si>
  <si>
    <t>Reola</t>
  </si>
  <si>
    <t>Külma</t>
  </si>
  <si>
    <t>Saarioinen Eesti OÜ</t>
  </si>
  <si>
    <t>Kalevi</t>
  </si>
  <si>
    <t>SALUTAGUSE PÄRMITEHAS AS</t>
  </si>
  <si>
    <t>Salutaguse</t>
  </si>
  <si>
    <t>Kohila</t>
  </si>
  <si>
    <t>Pärmitehase</t>
  </si>
  <si>
    <t>Laeva</t>
  </si>
  <si>
    <t>Torgu</t>
  </si>
  <si>
    <t>Mõntu</t>
  </si>
  <si>
    <t>Võru Gaas OÜ</t>
  </si>
  <si>
    <t>Võrumaa</t>
  </si>
  <si>
    <t>Võru</t>
  </si>
  <si>
    <t>Vagula</t>
  </si>
  <si>
    <t>Jõeperve</t>
  </si>
  <si>
    <t>Pikk 23</t>
  </si>
  <si>
    <t>12-0460</t>
  </si>
  <si>
    <t>Riia mnt 233</t>
  </si>
  <si>
    <t>Tartu mnt 86</t>
  </si>
  <si>
    <t>Kalda tee 1</t>
  </si>
  <si>
    <t>Endla 1</t>
  </si>
  <si>
    <t xml:space="preserve">Portlif Grupp OÜ </t>
  </si>
  <si>
    <t>Jäätmed</t>
  </si>
  <si>
    <t>12-0778</t>
  </si>
  <si>
    <t>Vana-Narva mnt 14</t>
  </si>
  <si>
    <t>Vana-Narva mnt 22</t>
  </si>
  <si>
    <t>Kivirand OÜ</t>
  </si>
  <si>
    <t>Vabriku 1</t>
  </si>
  <si>
    <t>12-0582</t>
  </si>
  <si>
    <t>Propaan AS Jõhvi müügipunkt</t>
  </si>
  <si>
    <t>Kotinuka</t>
  </si>
  <si>
    <t>Elering AS Kiisa AREJ</t>
  </si>
  <si>
    <t>Kirdalu</t>
  </si>
  <si>
    <t>Tagamaa</t>
  </si>
  <si>
    <t>L.KKL.IV-204118</t>
  </si>
  <si>
    <t>11-0855</t>
  </si>
  <si>
    <t>L.KKL.HA-217188</t>
  </si>
  <si>
    <t>KKL/162972</t>
  </si>
  <si>
    <t>Kesk 2/26</t>
  </si>
  <si>
    <t>KKL/20429</t>
  </si>
  <si>
    <t>L.KKL.HA-222658</t>
  </si>
  <si>
    <t>KKL/176540</t>
  </si>
  <si>
    <t>Naftabaasi</t>
  </si>
  <si>
    <t>KKL/319023</t>
  </si>
  <si>
    <t>L.KKL.HA-216935</t>
  </si>
  <si>
    <t>L.KKL.HA-199528</t>
  </si>
  <si>
    <t>KKL/320411</t>
  </si>
  <si>
    <t>L.KKL.HA-217156</t>
  </si>
  <si>
    <t>L.KKL.PÕ-30997</t>
  </si>
  <si>
    <t>Anija mnt 10</t>
  </si>
  <si>
    <t>Biokütus</t>
  </si>
  <si>
    <t>12-0616</t>
  </si>
  <si>
    <t>12-1169</t>
  </si>
  <si>
    <t>Go Oli AS</t>
  </si>
  <si>
    <t>Ringtee 21</t>
  </si>
  <si>
    <t>10-2593</t>
  </si>
  <si>
    <t>Viljandi mnt 26</t>
  </si>
  <si>
    <t>Neste Eesti AS Terminal</t>
  </si>
  <si>
    <t>Tartu terminal</t>
  </si>
  <si>
    <t>Kolga</t>
  </si>
  <si>
    <t>Põhjaterritooriumi</t>
  </si>
  <si>
    <t>12-1209</t>
  </si>
  <si>
    <t>Raua 6</t>
  </si>
  <si>
    <t>Hiiumaa</t>
  </si>
  <si>
    <t>KOKKU</t>
  </si>
  <si>
    <t>Alkohol (piiritus)</t>
  </si>
  <si>
    <t>12-1283</t>
  </si>
  <si>
    <t>Ammoniaak</t>
  </si>
  <si>
    <t>Alkohol</t>
  </si>
  <si>
    <t>HR</t>
  </si>
  <si>
    <t>HI</t>
  </si>
  <si>
    <t>IV</t>
  </si>
  <si>
    <t>JÕ</t>
  </si>
  <si>
    <t>JÄ</t>
  </si>
  <si>
    <t>LÄ</t>
  </si>
  <si>
    <t>LV</t>
  </si>
  <si>
    <t>PÕ</t>
  </si>
  <si>
    <t>PÄ</t>
  </si>
  <si>
    <t>RA</t>
  </si>
  <si>
    <t>SA</t>
  </si>
  <si>
    <t>TA</t>
  </si>
  <si>
    <t>VA</t>
  </si>
  <si>
    <t>VD</t>
  </si>
  <si>
    <t>VÕ</t>
  </si>
  <si>
    <t>12-0628</t>
  </si>
  <si>
    <t>Kadaka tee 181</t>
  </si>
  <si>
    <t>Tallinna Vesi AS Veepuhastusjaam</t>
  </si>
  <si>
    <t>Maag Grupp AS</t>
  </si>
  <si>
    <t>12-1429</t>
  </si>
  <si>
    <t>12-1163</t>
  </si>
  <si>
    <t>12-1431</t>
  </si>
  <si>
    <t>12-1445</t>
  </si>
  <si>
    <t>12-1456</t>
  </si>
  <si>
    <t>Tere AS Viljandi tootmisosakond</t>
  </si>
  <si>
    <t>Eesti AGA AS Maardu täitejaam</t>
  </si>
  <si>
    <t>Tere AS Põlva tootmisosakond</t>
  </si>
  <si>
    <t>12-1475</t>
  </si>
  <si>
    <t>Baltimark OÜ</t>
  </si>
  <si>
    <t>Paljassaare tee 30b</t>
  </si>
  <si>
    <t>Sillamäe SEJ AS</t>
  </si>
  <si>
    <t>Kesk 4</t>
  </si>
  <si>
    <t xml:space="preserve">L.KKL.HA-29983 </t>
  </si>
  <si>
    <t>12-1763</t>
  </si>
  <si>
    <t>12-1784</t>
  </si>
  <si>
    <t>Eesti Energia Õlitööstus AS</t>
  </si>
  <si>
    <t>12-1917</t>
  </si>
  <si>
    <t>12-2009</t>
  </si>
  <si>
    <t>12-2353</t>
  </si>
  <si>
    <t>Liiva 41</t>
  </si>
  <si>
    <t>12-2457</t>
  </si>
  <si>
    <t>OKK-02-12</t>
  </si>
  <si>
    <t>VRHL OÜ Mõntu Külmhoone</t>
  </si>
  <si>
    <t>12-2596</t>
  </si>
  <si>
    <t>Eesti Energia Narva Elektrijaamad AS, Eesti elektrijaam</t>
  </si>
  <si>
    <t>Eesti Energia Narva Elektrijaamad AS, Balti elektrijaam</t>
  </si>
  <si>
    <t>Elektrijaama tee 59</t>
  </si>
  <si>
    <t>Keskterritooriumi</t>
  </si>
  <si>
    <t>L.KKL.IV-172516</t>
  </si>
  <si>
    <t>L.KKL.IV-137279</t>
  </si>
  <si>
    <t>Tegevusala</t>
  </si>
  <si>
    <t>13-0118</t>
  </si>
  <si>
    <t>13-0156</t>
  </si>
  <si>
    <t>KKL/321813</t>
  </si>
  <si>
    <t>KKL/321724</t>
  </si>
  <si>
    <t>L.KKL.VÕ-187008</t>
  </si>
  <si>
    <t>Lääne 4</t>
  </si>
  <si>
    <t>Rapla Küte AS</t>
  </si>
  <si>
    <t>Kastani 3a</t>
  </si>
  <si>
    <t>taotlus sees</t>
  </si>
  <si>
    <t>13-0185</t>
  </si>
  <si>
    <t>Viru Keemia Grupp AS Formaliiniseade</t>
  </si>
  <si>
    <t>Eraküte AS Valga keskkatlamaja</t>
  </si>
  <si>
    <t>Pärna pst 15</t>
  </si>
  <si>
    <t>13-0211</t>
  </si>
  <si>
    <t>Tallinna Küte AS Mustamäe katlamaja</t>
  </si>
  <si>
    <t>13-0322</t>
  </si>
  <si>
    <t>13-0388</t>
  </si>
  <si>
    <t>13-0399</t>
  </si>
  <si>
    <t>13-0412</t>
  </si>
  <si>
    <t>e-mail</t>
  </si>
  <si>
    <t>13-0434</t>
  </si>
  <si>
    <t>13-0438</t>
  </si>
  <si>
    <t>Oiltanking Tallinn AS</t>
  </si>
  <si>
    <t>Tallinna 84</t>
  </si>
  <si>
    <t>Olerex AS - Kuressaare tankla</t>
  </si>
  <si>
    <t>Olerex AS - Pärnu tankla</t>
  </si>
  <si>
    <t>Olerex AS - Räni tankla</t>
  </si>
  <si>
    <t>Tallinna mnt 95</t>
  </si>
  <si>
    <t>Aardla 107</t>
  </si>
  <si>
    <t>Mäealuse 9</t>
  </si>
  <si>
    <t>13-0479</t>
  </si>
  <si>
    <t>13-0523</t>
  </si>
  <si>
    <t>13-0521</t>
  </si>
  <si>
    <t>13-0554</t>
  </si>
  <si>
    <t>13-0613</t>
  </si>
  <si>
    <t>Oht</t>
  </si>
  <si>
    <t>13-0445</t>
  </si>
  <si>
    <t>13-0711</t>
  </si>
  <si>
    <t>13-0689</t>
  </si>
  <si>
    <t>Tulekild Ilutulestikud OÜ</t>
  </si>
  <si>
    <t>13-0805</t>
  </si>
  <si>
    <t>13-0822</t>
  </si>
  <si>
    <t>13-0867</t>
  </si>
  <si>
    <t>Vaasan Baltic AS</t>
  </si>
  <si>
    <t>Kungla 4</t>
  </si>
  <si>
    <t>13-0916</t>
  </si>
  <si>
    <t>Eraküte AS Keila katlamaja</t>
  </si>
  <si>
    <t>13-0960</t>
  </si>
  <si>
    <t>13-1001</t>
  </si>
  <si>
    <t>13-1028</t>
  </si>
  <si>
    <t>13-1043</t>
  </si>
  <si>
    <t>13-1042</t>
  </si>
  <si>
    <t>13-0992</t>
  </si>
  <si>
    <t>Nõlva 13</t>
  </si>
  <si>
    <t>13-1217</t>
  </si>
  <si>
    <t>13-1227</t>
  </si>
  <si>
    <t>13-0070</t>
  </si>
  <si>
    <t>13-0757</t>
  </si>
  <si>
    <t>13-1266</t>
  </si>
  <si>
    <t>13-1278</t>
  </si>
  <si>
    <t>Lemminkäinen Eesti AS</t>
  </si>
  <si>
    <t>13-1290</t>
  </si>
  <si>
    <t>13-1441</t>
  </si>
  <si>
    <t>13-1423</t>
  </si>
  <si>
    <t>13-1575</t>
  </si>
  <si>
    <t>13-1694</t>
  </si>
  <si>
    <t>Jüri</t>
  </si>
  <si>
    <t>Laagri</t>
  </si>
  <si>
    <t>Ehitajate tee 114c</t>
  </si>
  <si>
    <t>Vesse 2</t>
  </si>
  <si>
    <t>Tallinna mnt 20</t>
  </si>
  <si>
    <t>Aleviku tee 5</t>
  </si>
  <si>
    <t>Pärnu mnt 556A</t>
  </si>
  <si>
    <t>Piiri</t>
  </si>
  <si>
    <t>Jaama 16b</t>
  </si>
  <si>
    <t>Ringtee 75b</t>
  </si>
  <si>
    <t>Kulbilohu 3</t>
  </si>
  <si>
    <t>Arctic Orbiit OÜ</t>
  </si>
  <si>
    <t>Antsla</t>
  </si>
  <si>
    <t>Tsooru</t>
  </si>
  <si>
    <t>Keldri</t>
  </si>
  <si>
    <t>13-1803</t>
  </si>
  <si>
    <t>Vesinikperoksiid</t>
  </si>
  <si>
    <t>Diiselkütus</t>
  </si>
  <si>
    <t>Peetri</t>
  </si>
  <si>
    <t>Helgi tee 3</t>
  </si>
  <si>
    <t>13-1897</t>
  </si>
  <si>
    <t>Rakvere 44</t>
  </si>
  <si>
    <t>Valio Eesti AS - Laeva Meierei</t>
  </si>
  <si>
    <t>13-1915</t>
  </si>
  <si>
    <t>Valmaotsa</t>
  </si>
  <si>
    <t>Alma</t>
  </si>
  <si>
    <t>Marja 5</t>
  </si>
  <si>
    <t>13-0314</t>
  </si>
  <si>
    <t>13-2029</t>
  </si>
  <si>
    <t>Maardu Terminal AS - Nõlva 13 terminal</t>
  </si>
  <si>
    <t>13-1973</t>
  </si>
  <si>
    <t>13-1739</t>
  </si>
  <si>
    <t>OKK-06-13</t>
  </si>
  <si>
    <t>OKK-05-13</t>
  </si>
  <si>
    <t>Elme Messer Gaas AS - Gaasitootmistehas</t>
  </si>
  <si>
    <t>13-0088</t>
  </si>
  <si>
    <t>kommentaarid</t>
  </si>
  <si>
    <t>kustutatud äriregistrist 09.06.2010</t>
  </si>
  <si>
    <t>Haapsalu</t>
  </si>
  <si>
    <t>Tallinna mnt 64a</t>
  </si>
  <si>
    <t>13-2178</t>
  </si>
  <si>
    <t>13-1238</t>
  </si>
  <si>
    <t>13-2228</t>
  </si>
  <si>
    <t>OKK-10-13</t>
  </si>
  <si>
    <t>EuroChem Terminal Sillamäe AS</t>
  </si>
  <si>
    <t>13-2249</t>
  </si>
  <si>
    <t xml:space="preserve">agro@agrochemaeesti.ee </t>
  </si>
  <si>
    <t xml:space="preserve">airok@airok.eu </t>
  </si>
  <si>
    <t>alexela@alexela.ee</t>
  </si>
  <si>
    <t>terminal@alexelasillamae.ee</t>
  </si>
  <si>
    <t xml:space="preserve">terminal@alexelaterminal.ee </t>
  </si>
  <si>
    <t>alfapath@gmail.com</t>
  </si>
  <si>
    <t>info@apkeemia.ee</t>
  </si>
  <si>
    <t xml:space="preserve">tuli@tulekuller.ee </t>
  </si>
  <si>
    <t>info@balbiino.ee</t>
  </si>
  <si>
    <t>balsnack@balsnack.ee</t>
  </si>
  <si>
    <t xml:space="preserve">kunda@baltictank.ee </t>
  </si>
  <si>
    <t>roman.loov@joeston.ee</t>
  </si>
  <si>
    <t xml:space="preserve">bct@bct.ee </t>
  </si>
  <si>
    <t xml:space="preserve">transiit@bsr.ee </t>
  </si>
  <si>
    <t>dbt@dbtmuuga.ee</t>
  </si>
  <si>
    <t>dekoil@dekoil.ee</t>
  </si>
  <si>
    <t>Olerex AS - Laki tankla</t>
  </si>
  <si>
    <t>Laki 29</t>
  </si>
  <si>
    <t>13-2295</t>
  </si>
  <si>
    <t>Pikk 64</t>
  </si>
  <si>
    <t>Valio Eesti AS - Võru Juustutööstus</t>
  </si>
  <si>
    <t>Alexela Oil AS - Haapsalu</t>
  </si>
  <si>
    <t>Alexela Oil AS - Jõhvi</t>
  </si>
  <si>
    <t>Alexela Oil AS - Ehitajate tee</t>
  </si>
  <si>
    <t>Alexela Oil AS - Vesse</t>
  </si>
  <si>
    <t>Alexela Oil AS - Paldiski</t>
  </si>
  <si>
    <t>Alexela Oil AS - Jüri</t>
  </si>
  <si>
    <t>Alexela Oil AS - Laagri</t>
  </si>
  <si>
    <t>Alexela Oil AS - Põltsamaa</t>
  </si>
  <si>
    <t>Alexela Oil AS - Põlva</t>
  </si>
  <si>
    <t>Alexela Oil AS - Ringtee</t>
  </si>
  <si>
    <t>Alexela Oil AS - Elva</t>
  </si>
  <si>
    <t>14-0138</t>
  </si>
  <si>
    <t>Alexela Oil AS - Anne</t>
  </si>
  <si>
    <t>Anne 46</t>
  </si>
  <si>
    <t>Libace OÜ</t>
  </si>
  <si>
    <t>Halinga</t>
  </si>
  <si>
    <t>Libatse</t>
  </si>
  <si>
    <t>Tootmise</t>
  </si>
  <si>
    <t>14-0237</t>
  </si>
  <si>
    <t>Triplex Eesti OÜ</t>
  </si>
  <si>
    <t>Kõduküla</t>
  </si>
  <si>
    <t>Hanni</t>
  </si>
  <si>
    <t>Firestudio OÜ</t>
  </si>
  <si>
    <t>Kadaka tee 70a</t>
  </si>
  <si>
    <t>Alfapath OÜ Kroodi Tehnopargi Naftasaaduste Terminal</t>
  </si>
  <si>
    <t>Alexela Oil AS - Sõle</t>
  </si>
  <si>
    <t>Sõle 27a</t>
  </si>
  <si>
    <t>OKK-01-14</t>
  </si>
  <si>
    <t>JVIS</t>
  </si>
  <si>
    <t>14-0402</t>
  </si>
  <si>
    <t>Ettevõte</t>
  </si>
  <si>
    <t xml:space="preserve">Kategooria </t>
  </si>
  <si>
    <t>Käitise aadress</t>
  </si>
  <si>
    <t>Alexela Oil AS - Jõgeva</t>
  </si>
  <si>
    <t>Piiri 16</t>
  </si>
  <si>
    <t>14-0443</t>
  </si>
  <si>
    <t>14-0446</t>
  </si>
  <si>
    <t>14-0453</t>
  </si>
  <si>
    <t>14-0501</t>
  </si>
  <si>
    <t>Rebastemäe tee 1</t>
  </si>
  <si>
    <t>OKK-04-14</t>
  </si>
  <si>
    <t>OKK-05-14</t>
  </si>
  <si>
    <t>OKK-03-14</t>
  </si>
  <si>
    <t>14-0527</t>
  </si>
  <si>
    <t>tvesi@tvesi.ee</t>
  </si>
  <si>
    <t>OKK-07-14</t>
  </si>
  <si>
    <t>Nordnet OÜ</t>
  </si>
  <si>
    <t>OKK-06-14</t>
  </si>
  <si>
    <t>salutaguse@lallemand.com</t>
  </si>
  <si>
    <t>Propaan AS Tallinna müügiesindus</t>
  </si>
  <si>
    <t>14-0595</t>
  </si>
  <si>
    <t>Härmaka</t>
  </si>
  <si>
    <t>OKK-10-14</t>
  </si>
  <si>
    <t>OKK-11-14</t>
  </si>
  <si>
    <t>OKK-12-14</t>
  </si>
  <si>
    <t>Maardu Terminal AS - LNG terminal 13-1973</t>
  </si>
  <si>
    <t>OKK-14-14</t>
  </si>
  <si>
    <t>OKK-16-14</t>
  </si>
  <si>
    <t>OKK-17-14</t>
  </si>
  <si>
    <t>OKK-18-14</t>
  </si>
  <si>
    <t>OKK-19-14</t>
  </si>
  <si>
    <t>OKK-20-14</t>
  </si>
  <si>
    <t>Alexela Oil AS - Viljandi</t>
  </si>
  <si>
    <t>Uus 4</t>
  </si>
  <si>
    <t>Alexela Oil AS - Kuressaare</t>
  </si>
  <si>
    <t>Sõrve tee 2</t>
  </si>
  <si>
    <t>Alexela Oil AS - Loo</t>
  </si>
  <si>
    <t>Niidu tee 2</t>
  </si>
  <si>
    <t>14-0716</t>
  </si>
  <si>
    <t>Üleoru 1</t>
  </si>
  <si>
    <t>OKK-21-14</t>
  </si>
  <si>
    <t>Kalda 3</t>
  </si>
  <si>
    <t>01-10</t>
  </si>
  <si>
    <t>01-14</t>
  </si>
  <si>
    <t>03-12</t>
  </si>
  <si>
    <t>04-13</t>
  </si>
  <si>
    <t>OKK-23-14</t>
  </si>
  <si>
    <t>OKK-24-14</t>
  </si>
  <si>
    <t>info@estonianspirit.com</t>
  </si>
  <si>
    <t>14-0977</t>
  </si>
  <si>
    <t>14-0974</t>
  </si>
  <si>
    <t>OKK-25-14</t>
  </si>
  <si>
    <t>14-0995</t>
  </si>
  <si>
    <t>gooil@gooil.ee</t>
  </si>
  <si>
    <t>Saare Gaas OÜ</t>
  </si>
  <si>
    <t>14-1087</t>
  </si>
  <si>
    <t>info@saaregaas.ee</t>
  </si>
  <si>
    <t>Kaevu 27</t>
  </si>
  <si>
    <t>14-1098</t>
  </si>
  <si>
    <t>estonia@hkscan.com</t>
  </si>
  <si>
    <t>Baltic Foam OÜ</t>
  </si>
  <si>
    <t>14-1171</t>
  </si>
  <si>
    <t>info@balticfoam.ee</t>
  </si>
  <si>
    <t>vrhl@hot.ee</t>
  </si>
  <si>
    <t>14-1187</t>
  </si>
  <si>
    <t>OKK-27-14</t>
  </si>
  <si>
    <t>OKK-26-14</t>
  </si>
  <si>
    <t>KKL/324417</t>
  </si>
  <si>
    <t>Vahi</t>
  </si>
  <si>
    <t>Astelpaju 2a</t>
  </si>
  <si>
    <t>14-1294</t>
  </si>
  <si>
    <t>OKK-28-14</t>
  </si>
  <si>
    <t>HKScan Estonia AS - Tabasalu tehas</t>
  </si>
  <si>
    <t>Nuudi tee 20</t>
  </si>
  <si>
    <t>Poroloon</t>
  </si>
  <si>
    <t>Paber</t>
  </si>
  <si>
    <t>Vaigud</t>
  </si>
  <si>
    <t>Pärm</t>
  </si>
  <si>
    <t>Formaliin</t>
  </si>
  <si>
    <t>14-1355</t>
  </si>
  <si>
    <t>viljandi@naftabaas.ee</t>
  </si>
  <si>
    <t>OKK-29-14</t>
  </si>
  <si>
    <t>Balford Chemicals OÜ</t>
  </si>
  <si>
    <t>Balti Karusnahk AS</t>
  </si>
  <si>
    <t>info@baltikarusnahk.ee</t>
  </si>
  <si>
    <t>14-1442</t>
  </si>
  <si>
    <t>14-1484</t>
  </si>
  <si>
    <t>Entek AS</t>
  </si>
  <si>
    <t>Paldiski mnt 23</t>
  </si>
  <si>
    <t>14-1498</t>
  </si>
  <si>
    <t>entek@entek.ee</t>
  </si>
  <si>
    <t>emg@emg.blrt.ee</t>
  </si>
  <si>
    <t>Elme Messer Gaas AS - Hapnikujaam</t>
  </si>
  <si>
    <t>Järvakandi</t>
  </si>
  <si>
    <t>Tehaste 7</t>
  </si>
  <si>
    <t>Eastman Specialties OÜ</t>
  </si>
  <si>
    <t>Paide</t>
  </si>
  <si>
    <t>Tööstuse 13b</t>
  </si>
  <si>
    <t>HKScan Estonia AS - Kumna farm</t>
  </si>
  <si>
    <t>Kumna</t>
  </si>
  <si>
    <t>Broilerifarmi</t>
  </si>
  <si>
    <t>14-1519</t>
  </si>
  <si>
    <t>14-1103</t>
  </si>
  <si>
    <t>slt@slt.ee</t>
  </si>
  <si>
    <t>OKK-30-14</t>
  </si>
  <si>
    <t>info@estoniancell.ee</t>
  </si>
  <si>
    <t>eskaro@eskaro.com</t>
  </si>
  <si>
    <t>Vinni</t>
  </si>
  <si>
    <t>Voore</t>
  </si>
  <si>
    <t>Kuivati</t>
  </si>
  <si>
    <t>14-1613</t>
  </si>
  <si>
    <t>Vedelgaas OÜ - Laatre Piim OÜ viljakuivati</t>
  </si>
  <si>
    <t>Tõlliste</t>
  </si>
  <si>
    <t>Sooru</t>
  </si>
  <si>
    <t>Keskuse</t>
  </si>
  <si>
    <t>info@vedelgaas.ee</t>
  </si>
  <si>
    <t>14-1614</t>
  </si>
  <si>
    <t>Vedelgaas OÜ - Rämsi Agro OÜ viljakuivati</t>
  </si>
  <si>
    <t>Puhja</t>
  </si>
  <si>
    <t>Rämsi</t>
  </si>
  <si>
    <t>Tiidriku tee 20</t>
  </si>
  <si>
    <t>Vedelgaas OÜ - Reideni Plaat AS</t>
  </si>
  <si>
    <t>Kadrina</t>
  </si>
  <si>
    <t>Tööstuse 29</t>
  </si>
  <si>
    <t>Tõõraste</t>
  </si>
  <si>
    <t>Reola purustusplats</t>
  </si>
  <si>
    <t>Tarvastu</t>
  </si>
  <si>
    <t>Mõnnaste</t>
  </si>
  <si>
    <t>Türi</t>
  </si>
  <si>
    <t>Kabala</t>
  </si>
  <si>
    <t>Hoidla 1</t>
  </si>
  <si>
    <t>Marna</t>
  </si>
  <si>
    <t>Marna Kuivati</t>
  </si>
  <si>
    <t>Lüganuse</t>
  </si>
  <si>
    <t>Varju</t>
  </si>
  <si>
    <t>Heina</t>
  </si>
  <si>
    <t>Mäksa</t>
  </si>
  <si>
    <t>Tammevaldma</t>
  </si>
  <si>
    <t>Konguta</t>
  </si>
  <si>
    <t>Kobilu</t>
  </si>
  <si>
    <t>Kobilo mõis</t>
  </si>
  <si>
    <t>kemotar@kemotar.ee</t>
  </si>
  <si>
    <t>Vedelgaas OÜ - Agraar Invest OÜ viljakuivati</t>
  </si>
  <si>
    <t>Vahenurme</t>
  </si>
  <si>
    <t>Vedelgaas OÜ - Erra Agro OÜ viljakuivati</t>
  </si>
  <si>
    <t>Sonda</t>
  </si>
  <si>
    <t>Erra</t>
  </si>
  <si>
    <t>Puiestee 23a</t>
  </si>
  <si>
    <t>Vedelgaas OÜ - Estonia OÜ viljakuivati</t>
  </si>
  <si>
    <t>Oisu</t>
  </si>
  <si>
    <t>Töökoja</t>
  </si>
  <si>
    <t>Vedelgaas OÜ - Koplimäe Agro OÜ viljakuivati</t>
  </si>
  <si>
    <t>Vilkula</t>
  </si>
  <si>
    <t>OKK-33-14</t>
  </si>
  <si>
    <t>OKK-31-14</t>
  </si>
  <si>
    <t>OKK-32-14</t>
  </si>
  <si>
    <t>Roodevälja Terminal OÜ</t>
  </si>
  <si>
    <t>roodevalja@gmail.com</t>
  </si>
  <si>
    <t>Venevere</t>
  </si>
  <si>
    <t>Laekvere</t>
  </si>
  <si>
    <t>HKScan Estonia AS - Rakvere tehas</t>
  </si>
  <si>
    <t>14-1696</t>
  </si>
  <si>
    <t>info@vopakeos.com</t>
  </si>
  <si>
    <t>Olerex AS - Õismäe tankla</t>
  </si>
  <si>
    <t>Harkujärve</t>
  </si>
  <si>
    <t>Paldiski mnt 150</t>
  </si>
  <si>
    <t>Olerex AS - Viimsi tankla</t>
  </si>
  <si>
    <t>Muuli tee 2</t>
  </si>
  <si>
    <t>Info@olerex.ee</t>
  </si>
  <si>
    <t>Kemivesi AS</t>
  </si>
  <si>
    <t>Gaasi tee 7</t>
  </si>
  <si>
    <t>tarmo.siir@kemira.com</t>
  </si>
  <si>
    <t>14-1722</t>
  </si>
  <si>
    <t>tallinn@vestaterminal.ee</t>
  </si>
  <si>
    <t>14-1718</t>
  </si>
  <si>
    <t>OKK-50-14</t>
  </si>
  <si>
    <t>OKK-49-14</t>
  </si>
  <si>
    <t>OKK-48-14</t>
  </si>
  <si>
    <t>OKK-47-14</t>
  </si>
  <si>
    <t>OKK-46-14</t>
  </si>
  <si>
    <t>OKK-45-14</t>
  </si>
  <si>
    <t>OKK-44-14</t>
  </si>
  <si>
    <t>OKK-43-14</t>
  </si>
  <si>
    <t>OKK-42-14</t>
  </si>
  <si>
    <t>OKK-41-14</t>
  </si>
  <si>
    <t>OKK-40-14</t>
  </si>
  <si>
    <t>OKK-39-14</t>
  </si>
  <si>
    <t>OKK-38-14</t>
  </si>
  <si>
    <t>OKK-37-14</t>
  </si>
  <si>
    <t>OKK-36-14</t>
  </si>
  <si>
    <t>OKK-35-14</t>
  </si>
  <si>
    <t>OKK-34-14</t>
  </si>
  <si>
    <t>T.R Tamme Auto OÜ</t>
  </si>
  <si>
    <t>Terminali tee 12</t>
  </si>
  <si>
    <t>14-1742</t>
  </si>
  <si>
    <t>Olerex AS - Põlva tankla</t>
  </si>
  <si>
    <t>Mammaste</t>
  </si>
  <si>
    <t>Tartu mnt 1b</t>
  </si>
  <si>
    <t>Olerex AS - Rakvere tankla</t>
  </si>
  <si>
    <t>Rägavere tee 2</t>
  </si>
  <si>
    <t>Reola Gaas AS - Tamme Kuivatid OÜ viljakuivati</t>
  </si>
  <si>
    <t>Reola Gaas AS - Laanekuru OÜ viljakuivati</t>
  </si>
  <si>
    <t>OKK-51-14</t>
  </si>
  <si>
    <t>L.KKL.HA-185330</t>
  </si>
  <si>
    <t>tere@tere.eu</t>
  </si>
  <si>
    <t>OKK-52-14</t>
  </si>
  <si>
    <t>OKK-56-14</t>
  </si>
  <si>
    <t>OKK-57-14</t>
  </si>
  <si>
    <t>OKK-58-14</t>
  </si>
  <si>
    <t>info.ee@tikkurila.com</t>
  </si>
  <si>
    <t>OKK-60-14</t>
  </si>
  <si>
    <t>OKK-59-14</t>
  </si>
  <si>
    <t>OKK-61-14</t>
  </si>
  <si>
    <t>OKK-62-14</t>
  </si>
  <si>
    <t>OKK-63-14</t>
  </si>
  <si>
    <t>OKK-65-14</t>
  </si>
  <si>
    <t>OKK-66-14</t>
  </si>
  <si>
    <t>vkgenergia@vkg.ee</t>
  </si>
  <si>
    <t>OKK-67-14</t>
  </si>
  <si>
    <t>kjinfo@eastman.com</t>
  </si>
  <si>
    <t>OKK-55-14</t>
  </si>
  <si>
    <t>info@premium-7.ee</t>
  </si>
  <si>
    <t>03-14</t>
  </si>
  <si>
    <t>Tondiraba 1</t>
  </si>
  <si>
    <t>15-0109</t>
  </si>
  <si>
    <t>OKK-01-15</t>
  </si>
  <si>
    <t>OKK-02-15</t>
  </si>
  <si>
    <t>OKK-03-15</t>
  </si>
  <si>
    <t>OKK-04-15</t>
  </si>
  <si>
    <t>JetGas OÜ - Sarketi LNG seade</t>
  </si>
  <si>
    <t>Mäo</t>
  </si>
  <si>
    <t>Sarketi</t>
  </si>
  <si>
    <t xml:space="preserve">L.KKL.HA-222649 </t>
  </si>
  <si>
    <t>OKK-06-15</t>
  </si>
  <si>
    <t>KKT Oil OÜ</t>
  </si>
  <si>
    <t>info@keemiatoostus.ee</t>
  </si>
  <si>
    <t>15-0214</t>
  </si>
  <si>
    <t>KKL/325743</t>
  </si>
  <si>
    <t>info@maarduterminal.ee</t>
  </si>
  <si>
    <t>Peterburi tee 38/4</t>
  </si>
  <si>
    <t>15-0379</t>
  </si>
  <si>
    <t>15-0407</t>
  </si>
  <si>
    <t>OKK-07-15</t>
  </si>
  <si>
    <t>terminal@milstrand.ee</t>
  </si>
  <si>
    <t>OKK-09-15</t>
  </si>
  <si>
    <t>OKK-10-15</t>
  </si>
  <si>
    <t>Olerex AS - Võru tankla</t>
  </si>
  <si>
    <t>Tallinna mnt 38</t>
  </si>
  <si>
    <t>OKK-11-15</t>
  </si>
  <si>
    <t>JetGas OÜ - Võru LNG jaam</t>
  </si>
  <si>
    <t>Jaama 24</t>
  </si>
  <si>
    <t>Janek.Parkman@jetgas.ee</t>
  </si>
  <si>
    <t>Papsaare</t>
  </si>
  <si>
    <t>Nopri</t>
  </si>
  <si>
    <t>Transpordi 2</t>
  </si>
  <si>
    <t>Viadukti põik 6</t>
  </si>
  <si>
    <t>Pildiküla</t>
  </si>
  <si>
    <t>Sevenoil EST OÜ - Kivilinna</t>
  </si>
  <si>
    <t>15-0625</t>
  </si>
  <si>
    <t>Flexoil OÜ</t>
  </si>
  <si>
    <t xml:space="preserve">flexoil@flexoil.ee </t>
  </si>
  <si>
    <t>15-0519</t>
  </si>
  <si>
    <t>Saarek Productions AS</t>
  </si>
  <si>
    <t>Tekkis Saarek AS jagunemisel</t>
  </si>
  <si>
    <t>Iru</t>
  </si>
  <si>
    <t>Ämma tee 79</t>
  </si>
  <si>
    <t>Palsteve OÜ</t>
  </si>
  <si>
    <t>S. Julajevi tee 2</t>
  </si>
  <si>
    <t>15-0751</t>
  </si>
  <si>
    <t>info@palsteve.ee</t>
  </si>
  <si>
    <t>ruf@fireworks.ee</t>
  </si>
  <si>
    <t>reola@reolagaas.ee</t>
  </si>
  <si>
    <t>OKK-08-15</t>
  </si>
  <si>
    <t>01-15</t>
  </si>
  <si>
    <t>info@lemminkainen.ee</t>
  </si>
  <si>
    <t>info@arnika.ee</t>
  </si>
  <si>
    <t>15-0697</t>
  </si>
  <si>
    <t>Jaama 173a</t>
  </si>
  <si>
    <t>OKK-16-15</t>
  </si>
  <si>
    <t>OKK-15-15</t>
  </si>
  <si>
    <t>veljo@saarek.ee</t>
  </si>
  <si>
    <t>esva@vici.eu</t>
  </si>
  <si>
    <t>Paljassaare Kalatööstuse AS</t>
  </si>
  <si>
    <t>OKK-17-15</t>
  </si>
  <si>
    <t>OKK-12-15</t>
  </si>
  <si>
    <t>OKK-13-15</t>
  </si>
  <si>
    <t>OKK-14-15</t>
  </si>
  <si>
    <t>OKK-18-15</t>
  </si>
  <si>
    <t>JetGas OÜ - Cristella LNG seade</t>
  </si>
  <si>
    <t>Pikk 17</t>
  </si>
  <si>
    <t>Mõisa tee 11</t>
  </si>
  <si>
    <t>15-0956</t>
  </si>
  <si>
    <t>OKK-19-15</t>
  </si>
  <si>
    <t>Kunda Nordic Tsement AS - LM ladu</t>
  </si>
  <si>
    <t xml:space="preserve">knc@knc.ee </t>
  </si>
  <si>
    <t>Cipax Eesti AS</t>
  </si>
  <si>
    <t>Lääne-Nigula</t>
  </si>
  <si>
    <t>Nurme 5</t>
  </si>
  <si>
    <t>15-0993</t>
  </si>
  <si>
    <t>krimelte@krimelte.com</t>
  </si>
  <si>
    <t>OKK-21-15</t>
  </si>
  <si>
    <t>vkgoil@vkg.ee</t>
  </si>
  <si>
    <t>15-1070</t>
  </si>
  <si>
    <t>Alexela Oil AS - Keila</t>
  </si>
  <si>
    <t>Ülejõe tee 2C</t>
  </si>
  <si>
    <t>OKK-22-15</t>
  </si>
  <si>
    <t>OKK-23-15</t>
  </si>
  <si>
    <t>OKK-24-15</t>
  </si>
  <si>
    <t>OKK-25-15</t>
  </si>
  <si>
    <t>OKK-26-15</t>
  </si>
  <si>
    <t>Rõngu</t>
  </si>
  <si>
    <t>Tähe</t>
  </si>
  <si>
    <t>3/2007</t>
  </si>
  <si>
    <t>005</t>
  </si>
  <si>
    <t>8/2005</t>
  </si>
  <si>
    <t>2/2005</t>
  </si>
  <si>
    <t>OKK-27-15</t>
  </si>
  <si>
    <t>OKK-28-15</t>
  </si>
  <si>
    <t>OKK-29-15</t>
  </si>
  <si>
    <t>OKK-30-15</t>
  </si>
  <si>
    <t>OKK-31-15</t>
  </si>
  <si>
    <t>Airok OÜ - Fra Mare Thalasso Spa</t>
  </si>
  <si>
    <t>Ranna tee 2</t>
  </si>
  <si>
    <t>15-1318</t>
  </si>
  <si>
    <t>15-1332</t>
  </si>
  <si>
    <t>info@triplex.ee</t>
  </si>
  <si>
    <t>OKK-33-15</t>
  </si>
  <si>
    <t>JetGas OÜ - Hagari LNG seade</t>
  </si>
  <si>
    <t>Taara pst 1</t>
  </si>
  <si>
    <t>Vedelgaas OÜ - Järva PM OÜ viljakuivati</t>
  </si>
  <si>
    <t>Koeru</t>
  </si>
  <si>
    <t>Laaneotsa</t>
  </si>
  <si>
    <t>Seveso</t>
  </si>
  <si>
    <t>15-1488</t>
  </si>
  <si>
    <t>Vedelgaas OÜ - Kämara-Antsu talu viljakuivati</t>
  </si>
  <si>
    <t>Kärevere</t>
  </si>
  <si>
    <t>Sepa</t>
  </si>
  <si>
    <t>15-1487</t>
  </si>
  <si>
    <t>info@hansatuled.ee</t>
  </si>
  <si>
    <t>15-1496</t>
  </si>
  <si>
    <t>15-1505</t>
  </si>
  <si>
    <t>kütuste ladustamine (sh kütmine, jaemüük jne)</t>
  </si>
  <si>
    <t>pürotehnika toodete tootmine ja ladustamine</t>
  </si>
  <si>
    <t>plasti ja kummitootmine</t>
  </si>
  <si>
    <t>elektrienergia tootmine, tarnimine ja jaotamine</t>
  </si>
  <si>
    <t>üldine kemikaalide tootmine (eespool nimetamata)</t>
  </si>
  <si>
    <t>paberimassi ja paberi tootmine</t>
  </si>
  <si>
    <t>metallide töötlemine elektrolüütiliste või keemiliste protsesside abil</t>
  </si>
  <si>
    <t>lõhkeaine tootmine, hävitamine ja ladustamine</t>
  </si>
  <si>
    <t>vedelgaasi ladustamine</t>
  </si>
  <si>
    <t>vesi ja reovesi (kogumine, varustamine ja töötlemine</t>
  </si>
  <si>
    <t>keemiatööstuskäitised - tööstusgaasid</t>
  </si>
  <si>
    <t>keemiatööstuskäitised - ammoniaak</t>
  </si>
  <si>
    <t>jäätmete ladustamine, käitlemine ja kõrvaldamine</t>
  </si>
  <si>
    <t>väetiste tootmine ja ladustamine</t>
  </si>
  <si>
    <t>toiduainete ja jookide tootmine</t>
  </si>
  <si>
    <t>naftakeemiatööstus/naftatöötlemistehased</t>
  </si>
  <si>
    <t>ladustamine ja turustamine hulgi- ja jaemüügi puhul (v.a. vedelgaas)</t>
  </si>
  <si>
    <t>EKTL</t>
  </si>
  <si>
    <t>x</t>
  </si>
  <si>
    <t>Kokku</t>
  </si>
  <si>
    <t>Kategooria</t>
  </si>
  <si>
    <t>Ei ole liidus</t>
  </si>
  <si>
    <t>Premia Tallinna Külmhoone AS - Jäätisevabrik</t>
  </si>
  <si>
    <t>Premia Tallinna Külmhoone AS - Logistikakeskus</t>
  </si>
  <si>
    <t>Rain AS</t>
  </si>
  <si>
    <t>info@rain.ee</t>
  </si>
  <si>
    <t>15-1573</t>
  </si>
  <si>
    <t>Loa nr</t>
  </si>
  <si>
    <t>THS</t>
  </si>
  <si>
    <t>LMS</t>
  </si>
  <si>
    <t>KemS</t>
  </si>
  <si>
    <t>Puudub</t>
  </si>
  <si>
    <t>Taotlus</t>
  </si>
  <si>
    <t>Domino</t>
  </si>
  <si>
    <t>2016</t>
  </si>
  <si>
    <t>2017</t>
  </si>
  <si>
    <t>2018</t>
  </si>
  <si>
    <t>2019</t>
  </si>
  <si>
    <t>2020</t>
  </si>
  <si>
    <t>TJA</t>
  </si>
  <si>
    <t>TJA/PA =</t>
  </si>
  <si>
    <t>TJA =</t>
  </si>
  <si>
    <t>PA =</t>
  </si>
  <si>
    <t>info@elering.ee</t>
  </si>
  <si>
    <t>info@kroodi.ee</t>
  </si>
  <si>
    <t>nccpo@nccpo.ee</t>
  </si>
  <si>
    <t>neste.eesti@neste.com</t>
  </si>
  <si>
    <t>norma@autoliv.com</t>
  </si>
  <si>
    <t>myyk@recticel.ee</t>
  </si>
  <si>
    <t>info@tammeauto.ee</t>
  </si>
  <si>
    <t>vasar@vasar.ee</t>
  </si>
  <si>
    <t>info@orica-estonia.com</t>
  </si>
  <si>
    <t>15-1606</t>
  </si>
  <si>
    <t>Hüüru</t>
  </si>
  <si>
    <t>Angerja tee 40</t>
  </si>
  <si>
    <t>Vedelgaas OÜ - Mällikvere PÜ OÜ viljakuivati</t>
  </si>
  <si>
    <t>15-1635</t>
  </si>
  <si>
    <t>Tartu mnt 26</t>
  </si>
  <si>
    <t>OKK-35-15</t>
  </si>
  <si>
    <t>OKK-34-15</t>
  </si>
  <si>
    <t>info@narvavesi.ee</t>
  </si>
  <si>
    <t>voru.gaas@mail.ee</t>
  </si>
  <si>
    <t>wiru@wiru.ee</t>
  </si>
  <si>
    <t>viking-ee@viking-life.com</t>
  </si>
  <si>
    <t>valio@valio.ee</t>
  </si>
  <si>
    <t>info@tulekild.ee</t>
  </si>
  <si>
    <t>eesti@statoilfuelretail.com</t>
  </si>
  <si>
    <t xml:space="preserve">silsteve@silsteve.ee </t>
  </si>
  <si>
    <t>saku@saku.ee</t>
  </si>
  <si>
    <t xml:space="preserve">saarioinen@saarioinen.ee </t>
  </si>
  <si>
    <t>laht@laht.ee</t>
  </si>
  <si>
    <t>info@propaan.ee</t>
  </si>
  <si>
    <t xml:space="preserve">premia@premia.ee </t>
  </si>
  <si>
    <t>info@portlif.ee</t>
  </si>
  <si>
    <t xml:space="preserve">info@petkam.ee </t>
  </si>
  <si>
    <t xml:space="preserve">pariis@hot.ee </t>
  </si>
  <si>
    <t xml:space="preserve"> info@zincpot.ee </t>
  </si>
  <si>
    <t xml:space="preserve">tallinn@oiltanking.com </t>
  </si>
  <si>
    <t xml:space="preserve">info@nordnet.ee </t>
  </si>
  <si>
    <t xml:space="preserve"> autokeemia@nordicgroup.ee </t>
  </si>
  <si>
    <t xml:space="preserve"> info@nitrofert.ee </t>
  </si>
  <si>
    <t xml:space="preserve">silmet@molycorp.com </t>
  </si>
  <si>
    <t xml:space="preserve">ecometal@ecometal.ee </t>
  </si>
  <si>
    <t>aga@aga.ee</t>
  </si>
  <si>
    <t xml:space="preserve">olitehas@energia.ee </t>
  </si>
  <si>
    <t xml:space="preserve">mart@estofish.ee </t>
  </si>
  <si>
    <t>erakyte@erakyte.ee</t>
  </si>
  <si>
    <t xml:space="preserve">info@tankchem.ee </t>
  </si>
  <si>
    <t xml:space="preserve">cargo@evr.ee </t>
  </si>
  <si>
    <t xml:space="preserve"> info@firestudio.ee  </t>
  </si>
  <si>
    <t>galv-est@galv-est.ee</t>
  </si>
  <si>
    <t xml:space="preserve">info@horizon.ee </t>
  </si>
  <si>
    <t xml:space="preserve">info@ingle.ee </t>
  </si>
  <si>
    <t xml:space="preserve">juveel@juveel.ee </t>
  </si>
  <si>
    <t xml:space="preserve">info@keemiakaubandus.ee </t>
  </si>
  <si>
    <t xml:space="preserve">kivirand@uninet.ee </t>
  </si>
  <si>
    <t>info@libace.eu</t>
  </si>
  <si>
    <t xml:space="preserve"> info@maag.ee</t>
  </si>
  <si>
    <t>piim@maag.ee</t>
  </si>
  <si>
    <t xml:space="preserve"> mistra@mistra-autex.ee </t>
  </si>
  <si>
    <t>Farmi Piimatööstus AS</t>
  </si>
  <si>
    <t>TJA/PA</t>
  </si>
  <si>
    <t>PA</t>
  </si>
  <si>
    <t>OKK-36-15</t>
  </si>
  <si>
    <t>Õlleköögi tee 24</t>
  </si>
  <si>
    <t>JetGas OÜ - Valga LNG jaam</t>
  </si>
  <si>
    <t>Rükkeli 1</t>
  </si>
  <si>
    <t>Stivis AS</t>
  </si>
  <si>
    <t>Koorma 1</t>
  </si>
  <si>
    <t>15-1725</t>
  </si>
  <si>
    <t>stivis@stivis.ee</t>
  </si>
  <si>
    <t>100 t; ei ole ohtlik</t>
  </si>
  <si>
    <t>TJA kokku=</t>
  </si>
  <si>
    <t>PA kokku=</t>
  </si>
  <si>
    <t>15-1846</t>
  </si>
  <si>
    <t>15-1866</t>
  </si>
  <si>
    <t>Vedelgaas OÜ - HKScan farmid - Kostivere tee 2</t>
  </si>
  <si>
    <t>Kostivere tee 2</t>
  </si>
  <si>
    <t>Vedelgaas OÜ - HKScan farmid - Kostivere tee 9</t>
  </si>
  <si>
    <t>Kostivere tee 9</t>
  </si>
  <si>
    <t>Olerex AS - Vana-Pärnu kütusetankla</t>
  </si>
  <si>
    <t>info@olerex.ee</t>
  </si>
  <si>
    <t>Olerex AS - Sauga kütusetankla</t>
  </si>
  <si>
    <t>Sauga</t>
  </si>
  <si>
    <t>Jänesselja 9</t>
  </si>
  <si>
    <t>Olerex AS - Peterburi tee kütusetankla</t>
  </si>
  <si>
    <t>Olerex AS - Tondiraba kütusetankla</t>
  </si>
  <si>
    <t>Endine Lukoil</t>
  </si>
  <si>
    <t>Olerex AS - Valga kütusetankla</t>
  </si>
  <si>
    <t>Olerex AS - Jüri kütusetankla</t>
  </si>
  <si>
    <t>Olerex AS - Paide Raudtee tn kütusetankla</t>
  </si>
  <si>
    <t>Raudtee 37</t>
  </si>
  <si>
    <t>16-0461</t>
  </si>
  <si>
    <t>Sankotrans AS</t>
  </si>
  <si>
    <t>Hoidla tee 2a</t>
  </si>
  <si>
    <t>info@sankotrans.ee</t>
  </si>
  <si>
    <t>16-0472</t>
  </si>
  <si>
    <t>Voglers Eesti OÜ</t>
  </si>
  <si>
    <t>16-0525</t>
  </si>
  <si>
    <t>Info@voglers.ee</t>
  </si>
  <si>
    <t>DBT AS - BCT terminal</t>
  </si>
  <si>
    <t>16-0651</t>
  </si>
  <si>
    <t>OKK-01-16</t>
  </si>
  <si>
    <t>16-0717</t>
  </si>
  <si>
    <t>Pauastvere</t>
  </si>
  <si>
    <t>Tamme</t>
  </si>
  <si>
    <t>Vedelgaas OÜ - Põllumeeste ühistu KEVILI Lõuna terminal</t>
  </si>
  <si>
    <t>Lossimäe</t>
  </si>
  <si>
    <t>Piiroja aed</t>
  </si>
  <si>
    <t>16-0758</t>
  </si>
  <si>
    <t>Vedelgaas OÜ - Heko Põld OÜ teraviljakuivati</t>
  </si>
  <si>
    <t>Tiidriku tee 14</t>
  </si>
  <si>
    <t>29.04.2016 teade, et mahuti demonteeritud</t>
  </si>
  <si>
    <t>06.05.2016 teade, et mahuti demonteeritud ja loa menetluse lõpetamist</t>
  </si>
  <si>
    <t>16-0811</t>
  </si>
  <si>
    <t>16-0830</t>
  </si>
  <si>
    <t>16-0803</t>
  </si>
  <si>
    <t>16-0832</t>
  </si>
  <si>
    <t>Kustutatud</t>
  </si>
  <si>
    <t>16-0854</t>
  </si>
  <si>
    <t>900 t; ei ole ohtlik</t>
  </si>
  <si>
    <t>12-1672</t>
  </si>
  <si>
    <t>L.KKL.IV-197728</t>
  </si>
  <si>
    <t xml:space="preserve">silpower@silpower.ee </t>
  </si>
  <si>
    <t>Põltsamaa Felix AS katlamaja</t>
  </si>
  <si>
    <t>85 t; ei ole ohtlik</t>
  </si>
  <si>
    <t>Tallinna mnt 1</t>
  </si>
  <si>
    <t>12-1242</t>
  </si>
  <si>
    <t>OKK-08-14</t>
  </si>
  <si>
    <t>info@poltsamaafelix.ee</t>
  </si>
  <si>
    <t>Elveso AS</t>
  </si>
  <si>
    <t>190 t; ei ole ohtli</t>
  </si>
  <si>
    <t>Ehituse 9</t>
  </si>
  <si>
    <t>14-1572</t>
  </si>
  <si>
    <t>OKK-05-15</t>
  </si>
  <si>
    <t>info@elveso.ee</t>
  </si>
  <si>
    <t>VKG Soojus AS Tipp- ja reservkatlamaja kompleks</t>
  </si>
  <si>
    <t>150 t; ei ole ohtlik</t>
  </si>
  <si>
    <t>Ristika 1</t>
  </si>
  <si>
    <t>14-0075</t>
  </si>
  <si>
    <t>KKL/319098</t>
  </si>
  <si>
    <t>vkgsoojus@vkg.ee</t>
  </si>
  <si>
    <t>Eraküte AS Kuperjanovi tn katlamaja</t>
  </si>
  <si>
    <t>Kuperjanovi 99a</t>
  </si>
  <si>
    <t>OKK-02-13</t>
  </si>
  <si>
    <t>400 t; ei ole ohtlik</t>
  </si>
  <si>
    <t>OKK-01-13</t>
  </si>
  <si>
    <t>valga@erakyte.ee</t>
  </si>
  <si>
    <t>Eraküte AS Haapsalu katlamaja</t>
  </si>
  <si>
    <t>800 t; ei ole ohtlik</t>
  </si>
  <si>
    <t>Niine 47a</t>
  </si>
  <si>
    <t>OKK-54-14</t>
  </si>
  <si>
    <t>haapsalu@erakyte.ee</t>
  </si>
  <si>
    <t>OKK-03-16</t>
  </si>
  <si>
    <t>OKK-04-16</t>
  </si>
  <si>
    <t>16-0877</t>
  </si>
  <si>
    <t>Alexela Energia AS - Agromax OÜ viljakuivati</t>
  </si>
  <si>
    <t>info@alexelaenergia.ee</t>
  </si>
  <si>
    <t>15-1080</t>
  </si>
  <si>
    <t>OKK-05-16</t>
  </si>
  <si>
    <t>Alexela Energia AS - Anton Peeki Undi Talu viljakuivati</t>
  </si>
  <si>
    <t>Undi-Kuivati</t>
  </si>
  <si>
    <t>Alexela Energia AS - Scandagra Eesti AS viljakuivati</t>
  </si>
  <si>
    <t>Alexela Energia AS - Viljameister OÜ viljakuivati</t>
  </si>
  <si>
    <t>16-0912</t>
  </si>
  <si>
    <t>Alexela Energia AS - HTM Grupp OÜ viljakuivati</t>
  </si>
  <si>
    <t>16-0909</t>
  </si>
  <si>
    <t>OKK-06-16</t>
  </si>
  <si>
    <t>OKK-07-16</t>
  </si>
  <si>
    <t>OKK-08-16</t>
  </si>
  <si>
    <t>Alexela Energia AS - Saka ERA OÜ viljakuivati</t>
  </si>
  <si>
    <t>Alexela Energia AS - Laekvere PM OÜ viljakuivati</t>
  </si>
  <si>
    <t>Alexela Energia AS - Voore Farm OÜ viljakuivati</t>
  </si>
  <si>
    <t xml:space="preserve"> info@traalpyyk.ee  </t>
  </si>
  <si>
    <t>estonia@cipax.com</t>
  </si>
  <si>
    <t xml:space="preserve"> eve@lkt.tt.ee </t>
  </si>
  <si>
    <t>16-0923</t>
  </si>
  <si>
    <t>16-0945</t>
  </si>
  <si>
    <t>Tehase 9</t>
  </si>
  <si>
    <t>16-0946</t>
  </si>
  <si>
    <t>16-0949</t>
  </si>
  <si>
    <t>OKK-09-16</t>
  </si>
  <si>
    <t>info.saue@lantmannen.com</t>
  </si>
  <si>
    <t>16-0974</t>
  </si>
  <si>
    <t>16-0975</t>
  </si>
  <si>
    <t>TL</t>
  </si>
  <si>
    <t>HOLP</t>
  </si>
  <si>
    <t>OTS</t>
  </si>
  <si>
    <t>OA</t>
  </si>
  <si>
    <t>OKK</t>
  </si>
  <si>
    <t>info@vnk.ee</t>
  </si>
  <si>
    <t>Keemia vkt 1c</t>
  </si>
  <si>
    <t>Luba peatatud</t>
  </si>
  <si>
    <t>ei ole ohtlik</t>
  </si>
  <si>
    <t>OKK-10-16</t>
  </si>
  <si>
    <t>OKK-11-16</t>
  </si>
  <si>
    <t>OKK-12-16</t>
  </si>
  <si>
    <t>16-1061</t>
  </si>
  <si>
    <t>B luba vaja teha C</t>
  </si>
  <si>
    <t>16-1164</t>
  </si>
  <si>
    <t>16-1275</t>
  </si>
  <si>
    <t>Baltic Oil Service OÜ</t>
  </si>
  <si>
    <t>terminal@bos.com.ee</t>
  </si>
  <si>
    <t>16-1290</t>
  </si>
  <si>
    <t>Rae põik 9</t>
  </si>
  <si>
    <t>16-1310</t>
  </si>
  <si>
    <t>16-1274</t>
  </si>
  <si>
    <t>16-1356</t>
  </si>
  <si>
    <t>16-1357</t>
  </si>
  <si>
    <t>16-1374</t>
  </si>
  <si>
    <t>Lagre tee 3</t>
  </si>
  <si>
    <t>16-1408</t>
  </si>
  <si>
    <t>Lõhangu</t>
  </si>
  <si>
    <t>info@terminaloil.ee</t>
  </si>
  <si>
    <t>16-1439</t>
  </si>
  <si>
    <t>16-1372</t>
  </si>
  <si>
    <t>OKK-13-16</t>
  </si>
  <si>
    <t>16-1404</t>
  </si>
  <si>
    <t>16-1424</t>
  </si>
  <si>
    <t>Utilitas Tallinn AS Kristiine katlamaja</t>
  </si>
  <si>
    <t>Utilitas Tallinn AS Mustamäe katlamaja</t>
  </si>
  <si>
    <t>16-1463</t>
  </si>
  <si>
    <t>NPM Silmet AS</t>
  </si>
  <si>
    <t>Enefit Energiatootmine AS, Auvere elektrijaam</t>
  </si>
  <si>
    <t>Enefit Energiatootmine AS, Balti elektrijaam</t>
  </si>
  <si>
    <t>Enefit Energiatootmine AS, Eesti elektrijaam</t>
  </si>
  <si>
    <t xml:space="preserve"> tootmine@energia.ee </t>
  </si>
  <si>
    <t>Henkel Balti Operations OÜ</t>
  </si>
  <si>
    <t>16-1480</t>
  </si>
  <si>
    <t>balti.operations@henkel.com</t>
  </si>
  <si>
    <t>PETKAM OÜ - naftabaas</t>
  </si>
  <si>
    <t>Olerex AS - Elva tankla</t>
  </si>
  <si>
    <t>Valga mnt 3a</t>
  </si>
  <si>
    <t>info@utilitas.ee</t>
  </si>
  <si>
    <t>16-1515</t>
  </si>
  <si>
    <t>16-1528</t>
  </si>
  <si>
    <t>info@htr-eu.com</t>
  </si>
  <si>
    <t>16-1575</t>
  </si>
  <si>
    <t>16-1574</t>
  </si>
  <si>
    <t>16-1577</t>
  </si>
  <si>
    <t>16-1578</t>
  </si>
  <si>
    <t>16-1595</t>
  </si>
  <si>
    <t>16-1593</t>
  </si>
  <si>
    <t>Utilitas Eesti AS Keila katlamaja</t>
  </si>
  <si>
    <t>OKK-15-16</t>
  </si>
  <si>
    <t>OKK-16-16</t>
  </si>
  <si>
    <t>ei ole ohtlik - TJA kiri 04.10.2016, ettevõtja taotlus 12.10.16</t>
  </si>
  <si>
    <t>16-1617</t>
  </si>
  <si>
    <t>16-1618</t>
  </si>
  <si>
    <t>Alexela Energia AS - mobiilne LCNG seade</t>
  </si>
  <si>
    <t>Kose tee 6</t>
  </si>
  <si>
    <t>16-1629</t>
  </si>
  <si>
    <t>100 t; ei ole ohtlik - tühistamise taotlus 127.10.2016</t>
  </si>
  <si>
    <t>Uus aadress, loal vana aadress</t>
  </si>
  <si>
    <t>Agrochema Eesti OÜ Jõgeva Agrokeskus</t>
  </si>
  <si>
    <t>MARSALIS METALL OÜ</t>
  </si>
  <si>
    <t>16-1691</t>
  </si>
  <si>
    <t>loksa@marsalis.ee</t>
  </si>
  <si>
    <t>Rain Transport AS</t>
  </si>
  <si>
    <t>Liivalao 11</t>
  </si>
  <si>
    <t>OKK-17-16</t>
  </si>
  <si>
    <t>endine Loksa Laevaremonditehas AS - ei ole ohtlik</t>
  </si>
  <si>
    <t>2021</t>
  </si>
  <si>
    <r>
      <t>TJA/</t>
    </r>
    <r>
      <rPr>
        <sz val="10"/>
        <color rgb="FFFF0000"/>
        <rFont val="Arial"/>
        <family val="2"/>
        <charset val="186"/>
      </rPr>
      <t>PA</t>
    </r>
  </si>
  <si>
    <r>
      <rPr>
        <sz val="10"/>
        <rFont val="Arial"/>
        <family val="2"/>
        <charset val="186"/>
      </rPr>
      <t>TJA/</t>
    </r>
    <r>
      <rPr>
        <sz val="10"/>
        <color rgb="FFFF0000"/>
        <rFont val="Arial"/>
        <family val="2"/>
        <charset val="186"/>
      </rPr>
      <t>PA</t>
    </r>
  </si>
  <si>
    <r>
      <rPr>
        <sz val="10"/>
        <color rgb="FFFF0000"/>
        <rFont val="Arial"/>
        <family val="2"/>
        <charset val="186"/>
      </rPr>
      <t>TJA</t>
    </r>
    <r>
      <rPr>
        <sz val="10"/>
        <color theme="1"/>
        <rFont val="Arial"/>
        <family val="2"/>
        <charset val="186"/>
      </rPr>
      <t>/PA</t>
    </r>
  </si>
  <si>
    <t>16-1764</t>
  </si>
  <si>
    <t>16-1765</t>
  </si>
  <si>
    <t>info.estonia@atria.com</t>
  </si>
  <si>
    <t>16-1770</t>
  </si>
  <si>
    <t>16-1768</t>
  </si>
  <si>
    <t>Gaasitankla</t>
  </si>
  <si>
    <t>Olemas ka KKL/320962</t>
  </si>
  <si>
    <t>30.11.2016 KLIS luba ei olnud nähtav</t>
  </si>
  <si>
    <t>Olemas ka KKL/325708</t>
  </si>
  <si>
    <t>16-1780</t>
  </si>
  <si>
    <t>Kesk 2/1</t>
  </si>
  <si>
    <t>16-1823</t>
  </si>
  <si>
    <t>16-1830</t>
  </si>
  <si>
    <t>Olerex AS - Narva teenindusjaam-tankla</t>
  </si>
  <si>
    <t>Tallinna mnt 73</t>
  </si>
  <si>
    <t>info.ee@akzonobel.com</t>
  </si>
  <si>
    <t>16-1859</t>
  </si>
  <si>
    <t>Enefit Energiatootmine AS, Õlitööstus</t>
  </si>
  <si>
    <t xml:space="preserve"> info@hromium.ee </t>
  </si>
  <si>
    <t>OKK-18-16</t>
  </si>
  <si>
    <t>16-1906</t>
  </si>
  <si>
    <t>Tartu Veevärk AS - Reoveepuhasti metanooli ladu</t>
  </si>
  <si>
    <t>Tähe 118</t>
  </si>
  <si>
    <t>16-1918</t>
  </si>
  <si>
    <t>tartuvesi@tartuvesi.ee</t>
  </si>
  <si>
    <t>01-16</t>
  </si>
  <si>
    <t>17-0120</t>
  </si>
  <si>
    <t>Lõpetamise teade 28.12.16 ja peatamise teade 12.01.17</t>
  </si>
  <si>
    <t>OKK-01-17</t>
  </si>
  <si>
    <t>Taotlus tegevusloa tühistamiseks 24.01.2017</t>
  </si>
  <si>
    <t>Uusküla</t>
  </si>
  <si>
    <t>Nuudi tee 48</t>
  </si>
  <si>
    <t xml:space="preserve">alkohol </t>
  </si>
  <si>
    <t>17-0258</t>
  </si>
  <si>
    <t>info@viimsivesi.ee</t>
  </si>
  <si>
    <t>Viimi Vesi AS, Muuga Reoveepuhasti</t>
  </si>
  <si>
    <t>17-0283</t>
  </si>
  <si>
    <t>Circle K Eesti AS - Endla tankla</t>
  </si>
  <si>
    <t>Circle K Eesti AS - Riia mnt tankla</t>
  </si>
  <si>
    <t>Circle K Eesti AS - Iru</t>
  </si>
  <si>
    <t>Circle K Eesti AS - Jõhvi</t>
  </si>
  <si>
    <t>Circle K Eesti AS - Kvissentali</t>
  </si>
  <si>
    <t>Statoil Fuel &amp; Retail Eesti AS uus ärinimi</t>
  </si>
  <si>
    <t>Circle K Eesti AS  - Anne tankla</t>
  </si>
  <si>
    <t>Statoil Fuel &amp; Retail Eesti AS  uus ärinimi</t>
  </si>
  <si>
    <t>Circle K Eesti AS - Sikupilli tankla</t>
  </si>
  <si>
    <t>Circle K Eesti AS - Sütiste tankla</t>
  </si>
  <si>
    <t xml:space="preserve">Maxima Eesti OÜ, Maxima Logistikakeskus </t>
  </si>
  <si>
    <t>Kurna</t>
  </si>
  <si>
    <t>17-0301</t>
  </si>
  <si>
    <t>logistika@maxima.ee</t>
  </si>
  <si>
    <t>menetlus peatatud, KMH eelhinnang</t>
  </si>
  <si>
    <t>OKK-02-17</t>
  </si>
  <si>
    <t>OKK-03-17</t>
  </si>
  <si>
    <t>OKK-04-17</t>
  </si>
  <si>
    <t>tühistatud</t>
  </si>
  <si>
    <t>OKK-06-17</t>
  </si>
  <si>
    <t>OKK-05-17</t>
  </si>
  <si>
    <t>MariComp Eesti OÜ</t>
  </si>
  <si>
    <t>17-0455</t>
  </si>
  <si>
    <t>jukka.torola@maricomp.com</t>
  </si>
  <si>
    <t>Metallitööstus</t>
  </si>
  <si>
    <t>metallkonstruktsioonide tootmine</t>
  </si>
  <si>
    <t>Paljassaare tee 43 e/f</t>
  </si>
  <si>
    <t>OKK-08-17</t>
  </si>
  <si>
    <t>OKK-07-17</t>
  </si>
  <si>
    <t>OKK-09-17</t>
  </si>
  <si>
    <t>OKK-10-17</t>
  </si>
  <si>
    <t>OKK-12-17</t>
  </si>
  <si>
    <t xml:space="preserve">  </t>
  </si>
  <si>
    <t>OKK-11-17</t>
  </si>
  <si>
    <t>Enefit Taastuvenergia OÜ Iru EJ ( EE AS Iru EJ)</t>
  </si>
  <si>
    <t>OKK-13-17</t>
  </si>
  <si>
    <t>Olerex AS - Keila tankla</t>
  </si>
  <si>
    <t>Olerex AS - Paide Tallinna tn kütusetankla</t>
  </si>
  <si>
    <t>?</t>
  </si>
  <si>
    <t>uus ettevõte, tõenäoliselt ei ole ohtlik</t>
  </si>
  <si>
    <t>taastuv@energia.ee</t>
  </si>
  <si>
    <t>Põhja 8</t>
  </si>
  <si>
    <t>Tallinna 59</t>
  </si>
  <si>
    <t>OKK-14-17</t>
  </si>
  <si>
    <t xml:space="preserve">JetGas OÜ - Kuressaare LNG seade </t>
  </si>
  <si>
    <t>mitteohtlik</t>
  </si>
  <si>
    <t>Kiri</t>
  </si>
  <si>
    <t>OKK-16-17</t>
  </si>
  <si>
    <t>OKK-15-17</t>
  </si>
  <si>
    <t>Kungla 56</t>
  </si>
  <si>
    <t>16-1668</t>
  </si>
  <si>
    <t>erts@erts.ee</t>
  </si>
  <si>
    <t xml:space="preserve">Väetised </t>
  </si>
  <si>
    <t>KKL/321832</t>
  </si>
  <si>
    <t>Tehnika 2</t>
  </si>
  <si>
    <t>OKK-02-14 taotlus</t>
  </si>
  <si>
    <t>16-1610</t>
  </si>
  <si>
    <t>endine Nobela Properties</t>
  </si>
  <si>
    <t>OKK-18-17</t>
  </si>
  <si>
    <t>OKK-19-17</t>
  </si>
  <si>
    <t>menetlus peatatud kuni 24.07.2017</t>
  </si>
  <si>
    <t>17-0238</t>
  </si>
  <si>
    <t>Gaasi 8/11</t>
  </si>
  <si>
    <t>OKK-20-17</t>
  </si>
  <si>
    <t xml:space="preserve">   </t>
  </si>
  <si>
    <t xml:space="preserve"> </t>
  </si>
  <si>
    <t>Ingle AS Ingliste ladu</t>
  </si>
  <si>
    <t>oli Sevenoli</t>
  </si>
  <si>
    <t>oli Sevenoil</t>
  </si>
  <si>
    <t>kustutatud äriregitrist 20.10.2015</t>
  </si>
  <si>
    <t>alates 01.01.2017 uuesl aadressil</t>
  </si>
  <si>
    <t>OKK-21-17</t>
  </si>
  <si>
    <t>OKK-22-17</t>
  </si>
  <si>
    <t>OKK17-17</t>
  </si>
  <si>
    <t>taotlus sees, peatatud</t>
  </si>
  <si>
    <t>17-028</t>
  </si>
  <si>
    <t>OKK-23-17</t>
  </si>
  <si>
    <t>OKK-24-17</t>
  </si>
  <si>
    <t>OKK-25-17</t>
  </si>
  <si>
    <t>Vedelgaas OÜ - Eccua OÜ (Frog Plastic OÜ)</t>
  </si>
  <si>
    <t>OKK-29-17</t>
  </si>
  <si>
    <t>OKK-28-17</t>
  </si>
  <si>
    <t>OKK-26-17</t>
  </si>
  <si>
    <t>OKK- 27-17</t>
  </si>
  <si>
    <t xml:space="preserve">Gaas </t>
  </si>
  <si>
    <t>Hulja</t>
  </si>
  <si>
    <t>Vandu tee 17 ja 21</t>
  </si>
  <si>
    <t>airok@airok.ee</t>
  </si>
  <si>
    <t>Airok OÜ - Aru Põllumajanduse OÜ viljakuivati</t>
  </si>
  <si>
    <t>Airko OÜ - Friendsland OÜ viljakuivati</t>
  </si>
  <si>
    <t>Alatskivi</t>
  </si>
  <si>
    <t>Päiksi tee 4</t>
  </si>
  <si>
    <t>Vedelgaas OÜ - ITT Capital Harmet tootmishoone</t>
  </si>
  <si>
    <t>taotlus</t>
  </si>
  <si>
    <t>Puusepa tee 4</t>
  </si>
  <si>
    <t>Firestudio OÜ Arelo ladu</t>
  </si>
  <si>
    <t>pürotehniliste toodete ladustamine</t>
  </si>
  <si>
    <t>Tapa vald</t>
  </si>
  <si>
    <t>Moe küla</t>
  </si>
  <si>
    <t>tuhistatud</t>
  </si>
  <si>
    <t>Vedelgaas OÜ - Vara Saeveski</t>
  </si>
  <si>
    <t xml:space="preserve">Vara </t>
  </si>
  <si>
    <t>Vara</t>
  </si>
  <si>
    <t>Vara Saeveski</t>
  </si>
  <si>
    <t>Vedelgaas OÜ - Aaspere Agro viljakuivati</t>
  </si>
  <si>
    <t>Vedelgaas OÜ- Alvar MÜ viljakuivati</t>
  </si>
  <si>
    <t>Kärmu</t>
  </si>
  <si>
    <t>Tööstuse KÜ</t>
  </si>
  <si>
    <t>Alavere</t>
  </si>
  <si>
    <t>Töökoja KÜ</t>
  </si>
  <si>
    <t>Vedelgaas OÜ - Haage Agro viljakuivati</t>
  </si>
  <si>
    <t>Tähtvere</t>
  </si>
  <si>
    <t>Pihva</t>
  </si>
  <si>
    <t>Kurvitsa tee 14</t>
  </si>
  <si>
    <t>Vedelgaas OÜ - Jakoch Agro viljakuivati</t>
  </si>
  <si>
    <t>Kurgla</t>
  </si>
  <si>
    <t>Kivimäe Farm</t>
  </si>
  <si>
    <t>Vedelgaas OÜ - Laheotsa OÜ viljakuivati</t>
  </si>
  <si>
    <t>Padise</t>
  </si>
  <si>
    <t>Altküla</t>
  </si>
  <si>
    <t>Krünbergi KÜ</t>
  </si>
  <si>
    <t>Vedelgaas OÜ - Rocmar OÜ viljakuivati</t>
  </si>
  <si>
    <t>Anikatsi</t>
  </si>
  <si>
    <t>Kuivati KÜ</t>
  </si>
  <si>
    <t>Vedelgaas OÜ - Scandagra Eesti Keila viljakuivati</t>
  </si>
  <si>
    <t>Linnamäe tee 6</t>
  </si>
  <si>
    <t>Vedelgaas OÜ - Sootaga Mõis viljakuivati</t>
  </si>
  <si>
    <t>Sootaga</t>
  </si>
  <si>
    <t>Sootaga Uuemõisa</t>
  </si>
  <si>
    <t>Vedelgaas OÜ - Tavex OÜ viljakuivati</t>
  </si>
  <si>
    <t>Lokuta</t>
  </si>
  <si>
    <t>Estreftransservice AS</t>
  </si>
  <si>
    <t>Airok OÜ - Allikõnnu viljakuivati</t>
  </si>
  <si>
    <t>Vändra</t>
  </si>
  <si>
    <t>Allikõnnu</t>
  </si>
  <si>
    <t>Tehnobaasi KÜ</t>
  </si>
  <si>
    <t>OKK-53-14, peatatud al 15.11.17</t>
  </si>
  <si>
    <t>OKK-30-17</t>
  </si>
  <si>
    <t>Alexela Energia AS (endine Reola Gaas)</t>
  </si>
  <si>
    <t>30.11.2016 KLIS luba ei olnud nähtav, ettevõte on lõpetanud tegevuse, pole teatanud</t>
  </si>
  <si>
    <t>JetGas OÜ - Paide LNG seade</t>
  </si>
  <si>
    <t>lõpetanud tegevuse</t>
  </si>
  <si>
    <t>lõpetab tegevuse</t>
  </si>
  <si>
    <t>Interaktiivne A-B-C tabel ohtlike kemikaalide käitlemiskohti puudutava informatsiooniga</t>
  </si>
  <si>
    <t xml:space="preserve">Ohutusjärelevalve valdkonna kemikaaliohutuse </t>
  </si>
  <si>
    <t xml:space="preserve">kontrolli teenuse ohuprognoosi hindamine ning </t>
  </si>
  <si>
    <t>uue ohuprognoosi kinnitamine juurde</t>
  </si>
  <si>
    <t>Lisa 2 uues redaktsioonis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</si>
</sst>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3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u/>
      <sz val="11"/>
      <color theme="10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  <font>
      <sz val="10"/>
      <color rgb="FFFF0000"/>
      <name val="Arial"/>
      <family val="2"/>
      <charset val="186"/>
    </font>
    <font>
      <u/>
      <sz val="10"/>
      <color theme="10"/>
      <name val="Arial"/>
      <family val="2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u/>
      <sz val="10"/>
      <color theme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indexed="8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10"/>
      <color rgb="FF002060"/>
      <name val="Arial"/>
      <family val="2"/>
      <charset val="186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</fonts>
  <fills count="5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20" fillId="0" borderId="0"/>
    <xf numFmtId="0" fontId="22" fillId="0" borderId="0"/>
    <xf numFmtId="0" fontId="25" fillId="0" borderId="0" applyNumberFormat="0" applyFill="0" applyBorder="0" applyAlignment="0" applyProtection="0"/>
  </cellStyleXfs>
  <cellXfs count="345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/>
    </xf>
    <xf numFmtId="0" fontId="20" fillId="0" borderId="10" xfId="0" applyFont="1" applyFill="1" applyBorder="1" applyAlignment="1">
      <alignment wrapText="1"/>
    </xf>
    <xf numFmtId="0" fontId="20" fillId="0" borderId="10" xfId="0" applyFont="1" applyFill="1" applyBorder="1"/>
    <xf numFmtId="0" fontId="21" fillId="0" borderId="10" xfId="0" applyFont="1" applyBorder="1" applyAlignment="1">
      <alignment horizontal="center"/>
    </xf>
    <xf numFmtId="0" fontId="20" fillId="0" borderId="10" xfId="0" applyFont="1" applyBorder="1"/>
    <xf numFmtId="0" fontId="20" fillId="0" borderId="10" xfId="0" applyFont="1" applyBorder="1" applyAlignment="1">
      <alignment horizontal="center"/>
    </xf>
    <xf numFmtId="0" fontId="20" fillId="0" borderId="10" xfId="0" applyFont="1" applyFill="1" applyBorder="1" applyAlignment="1">
      <alignment horizontal="center" wrapText="1"/>
    </xf>
    <xf numFmtId="14" fontId="20" fillId="0" borderId="10" xfId="0" applyNumberFormat="1" applyFont="1" applyFill="1" applyBorder="1" applyAlignment="1">
      <alignment horizontal="center" wrapText="1"/>
    </xf>
    <xf numFmtId="0" fontId="20" fillId="0" borderId="10" xfId="0" applyFont="1" applyFill="1" applyBorder="1" applyAlignment="1">
      <alignment horizontal="center"/>
    </xf>
    <xf numFmtId="0" fontId="20" fillId="34" borderId="10" xfId="0" applyFont="1" applyFill="1" applyBorder="1" applyAlignment="1">
      <alignment horizontal="center" wrapText="1"/>
    </xf>
    <xf numFmtId="0" fontId="20" fillId="34" borderId="10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top" wrapText="1"/>
    </xf>
    <xf numFmtId="0" fontId="20" fillId="0" borderId="10" xfId="43" applyNumberFormat="1" applyFont="1" applyBorder="1" applyAlignment="1">
      <alignment horizontal="center" vertical="center"/>
    </xf>
    <xf numFmtId="0" fontId="20" fillId="0" borderId="10" xfId="43" applyNumberFormat="1" applyFont="1" applyFill="1" applyBorder="1" applyAlignment="1">
      <alignment horizontal="center" vertical="center"/>
    </xf>
    <xf numFmtId="0" fontId="19" fillId="0" borderId="10" xfId="44" applyFont="1" applyFill="1" applyBorder="1" applyAlignment="1">
      <alignment horizontal="center" vertical="center"/>
    </xf>
    <xf numFmtId="0" fontId="20" fillId="34" borderId="10" xfId="43" applyNumberFormat="1" applyFont="1" applyFill="1" applyBorder="1" applyAlignment="1">
      <alignment horizontal="center" vertical="center"/>
    </xf>
    <xf numFmtId="0" fontId="18" fillId="0" borderId="10" xfId="0" applyFont="1" applyBorder="1"/>
    <xf numFmtId="0" fontId="18" fillId="0" borderId="10" xfId="0" applyFont="1" applyBorder="1" applyAlignment="1">
      <alignment horizontal="center"/>
    </xf>
    <xf numFmtId="0" fontId="20" fillId="35" borderId="10" xfId="0" applyFont="1" applyFill="1" applyBorder="1" applyAlignment="1">
      <alignment horizontal="center"/>
    </xf>
    <xf numFmtId="14" fontId="20" fillId="35" borderId="10" xfId="0" applyNumberFormat="1" applyFont="1" applyFill="1" applyBorder="1" applyAlignment="1">
      <alignment horizontal="center"/>
    </xf>
    <xf numFmtId="0" fontId="18" fillId="35" borderId="10" xfId="0" applyFont="1" applyFill="1" applyBorder="1" applyAlignment="1">
      <alignment horizontal="center"/>
    </xf>
    <xf numFmtId="14" fontId="18" fillId="35" borderId="10" xfId="0" applyNumberFormat="1" applyFont="1" applyFill="1" applyBorder="1" applyAlignment="1">
      <alignment horizontal="center"/>
    </xf>
    <xf numFmtId="14" fontId="18" fillId="33" borderId="10" xfId="0" applyNumberFormat="1" applyFont="1" applyFill="1" applyBorder="1" applyAlignment="1">
      <alignment horizontal="center"/>
    </xf>
    <xf numFmtId="0" fontId="20" fillId="0" borderId="10" xfId="0" applyFont="1" applyBorder="1" applyAlignment="1">
      <alignment horizontal="left"/>
    </xf>
    <xf numFmtId="0" fontId="20" fillId="0" borderId="10" xfId="43" applyNumberFormat="1" applyFont="1" applyFill="1" applyBorder="1" applyAlignment="1">
      <alignment horizontal="left"/>
    </xf>
    <xf numFmtId="0" fontId="18" fillId="0" borderId="10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20" fillId="36" borderId="10" xfId="0" applyFont="1" applyFill="1" applyBorder="1" applyAlignment="1">
      <alignment horizontal="center"/>
    </xf>
    <xf numFmtId="49" fontId="20" fillId="35" borderId="10" xfId="0" applyNumberFormat="1" applyFont="1" applyFill="1" applyBorder="1" applyAlignment="1">
      <alignment horizontal="center"/>
    </xf>
    <xf numFmtId="0" fontId="20" fillId="33" borderId="10" xfId="0" applyFont="1" applyFill="1" applyBorder="1" applyAlignment="1">
      <alignment horizontal="center"/>
    </xf>
    <xf numFmtId="14" fontId="20" fillId="33" borderId="10" xfId="0" applyNumberFormat="1" applyFont="1" applyFill="1" applyBorder="1" applyAlignment="1">
      <alignment horizontal="center"/>
    </xf>
    <xf numFmtId="0" fontId="21" fillId="0" borderId="10" xfId="0" applyFont="1" applyFill="1" applyBorder="1" applyAlignment="1">
      <alignment horizontal="center"/>
    </xf>
    <xf numFmtId="0" fontId="18" fillId="0" borderId="10" xfId="0" applyFont="1" applyFill="1" applyBorder="1"/>
    <xf numFmtId="0" fontId="18" fillId="0" borderId="0" xfId="0" applyFont="1" applyFill="1"/>
    <xf numFmtId="49" fontId="18" fillId="35" borderId="10" xfId="0" applyNumberFormat="1" applyFont="1" applyFill="1" applyBorder="1" applyAlignment="1">
      <alignment horizontal="center"/>
    </xf>
    <xf numFmtId="0" fontId="20" fillId="0" borderId="10" xfId="0" applyFont="1" applyFill="1" applyBorder="1" applyAlignment="1">
      <alignment horizontal="left"/>
    </xf>
    <xf numFmtId="14" fontId="20" fillId="0" borderId="10" xfId="0" applyNumberFormat="1" applyFont="1" applyFill="1" applyBorder="1" applyAlignment="1">
      <alignment horizontal="center"/>
    </xf>
    <xf numFmtId="0" fontId="18" fillId="0" borderId="10" xfId="0" applyFont="1" applyFill="1" applyBorder="1" applyAlignment="1">
      <alignment horizontal="center"/>
    </xf>
    <xf numFmtId="14" fontId="18" fillId="0" borderId="10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16" fillId="0" borderId="13" xfId="0" applyFont="1" applyBorder="1"/>
    <xf numFmtId="0" fontId="16" fillId="0" borderId="14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6" fillId="0" borderId="15" xfId="0" applyFont="1" applyBorder="1"/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/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0" fillId="0" borderId="28" xfId="0" applyBorder="1"/>
    <xf numFmtId="0" fontId="16" fillId="0" borderId="28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/>
    </xf>
    <xf numFmtId="0" fontId="16" fillId="0" borderId="34" xfId="0" applyFont="1" applyBorder="1" applyAlignment="1">
      <alignment horizontal="center"/>
    </xf>
    <xf numFmtId="0" fontId="16" fillId="0" borderId="35" xfId="0" applyFont="1" applyBorder="1" applyAlignment="1">
      <alignment horizontal="center"/>
    </xf>
    <xf numFmtId="0" fontId="16" fillId="0" borderId="39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16" fillId="0" borderId="36" xfId="0" applyFont="1" applyBorder="1" applyAlignment="1">
      <alignment horizontal="center"/>
    </xf>
    <xf numFmtId="0" fontId="21" fillId="0" borderId="34" xfId="0" applyFont="1" applyBorder="1"/>
    <xf numFmtId="0" fontId="21" fillId="0" borderId="35" xfId="0" applyFont="1" applyBorder="1"/>
    <xf numFmtId="0" fontId="21" fillId="0" borderId="39" xfId="0" applyFont="1" applyBorder="1"/>
    <xf numFmtId="0" fontId="0" fillId="0" borderId="10" xfId="0" applyFont="1" applyBorder="1" applyAlignment="1">
      <alignment horizontal="center"/>
    </xf>
    <xf numFmtId="0" fontId="21" fillId="0" borderId="30" xfId="0" applyFont="1" applyFill="1" applyBorder="1" applyAlignment="1">
      <alignment horizontal="center"/>
    </xf>
    <xf numFmtId="0" fontId="16" fillId="0" borderId="30" xfId="0" applyFont="1" applyBorder="1"/>
    <xf numFmtId="0" fontId="0" fillId="0" borderId="32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0" fontId="0" fillId="0" borderId="33" xfId="0" applyFont="1" applyBorder="1" applyAlignment="1">
      <alignment horizontal="center"/>
    </xf>
    <xf numFmtId="0" fontId="0" fillId="0" borderId="40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20" fillId="0" borderId="34" xfId="0" applyFont="1" applyBorder="1"/>
    <xf numFmtId="0" fontId="0" fillId="0" borderId="37" xfId="0" applyFont="1" applyBorder="1" applyAlignment="1">
      <alignment horizontal="center"/>
    </xf>
    <xf numFmtId="0" fontId="0" fillId="0" borderId="34" xfId="0" applyFont="1" applyBorder="1" applyAlignment="1">
      <alignment horizontal="center"/>
    </xf>
    <xf numFmtId="0" fontId="20" fillId="0" borderId="35" xfId="0" applyFont="1" applyBorder="1"/>
    <xf numFmtId="0" fontId="0" fillId="0" borderId="38" xfId="0" applyFont="1" applyBorder="1" applyAlignment="1">
      <alignment horizontal="center"/>
    </xf>
    <xf numFmtId="0" fontId="0" fillId="0" borderId="35" xfId="0" applyFont="1" applyBorder="1" applyAlignment="1">
      <alignment horizontal="center"/>
    </xf>
    <xf numFmtId="0" fontId="20" fillId="0" borderId="39" xfId="0" applyFont="1" applyBorder="1"/>
    <xf numFmtId="0" fontId="0" fillId="0" borderId="41" xfId="0" applyFont="1" applyBorder="1" applyAlignment="1">
      <alignment horizontal="center"/>
    </xf>
    <xf numFmtId="0" fontId="0" fillId="0" borderId="39" xfId="0" applyFont="1" applyBorder="1" applyAlignment="1">
      <alignment horizontal="center"/>
    </xf>
    <xf numFmtId="0" fontId="20" fillId="37" borderId="10" xfId="0" applyFont="1" applyFill="1" applyBorder="1" applyAlignment="1">
      <alignment horizontal="center"/>
    </xf>
    <xf numFmtId="14" fontId="20" fillId="37" borderId="10" xfId="0" applyNumberFormat="1" applyFont="1" applyFill="1" applyBorder="1" applyAlignment="1">
      <alignment horizontal="center"/>
    </xf>
    <xf numFmtId="14" fontId="20" fillId="38" borderId="10" xfId="0" applyNumberFormat="1" applyFont="1" applyFill="1" applyBorder="1" applyAlignment="1">
      <alignment horizontal="center"/>
    </xf>
    <xf numFmtId="0" fontId="18" fillId="33" borderId="10" xfId="0" applyFont="1" applyFill="1" applyBorder="1" applyAlignment="1">
      <alignment horizontal="center"/>
    </xf>
    <xf numFmtId="0" fontId="20" fillId="39" borderId="10" xfId="0" applyFont="1" applyFill="1" applyBorder="1" applyAlignment="1">
      <alignment horizontal="center"/>
    </xf>
    <xf numFmtId="0" fontId="18" fillId="39" borderId="10" xfId="0" applyFont="1" applyFill="1" applyBorder="1" applyAlignment="1">
      <alignment horizontal="center"/>
    </xf>
    <xf numFmtId="0" fontId="20" fillId="39" borderId="10" xfId="0" applyFont="1" applyFill="1" applyBorder="1" applyAlignment="1">
      <alignment horizontal="center" wrapText="1"/>
    </xf>
    <xf numFmtId="0" fontId="20" fillId="39" borderId="10" xfId="0" applyFont="1" applyFill="1" applyBorder="1" applyAlignment="1">
      <alignment horizontal="center" vertical="top" wrapText="1"/>
    </xf>
    <xf numFmtId="0" fontId="19" fillId="37" borderId="10" xfId="44" applyFont="1" applyFill="1" applyBorder="1" applyAlignment="1">
      <alignment horizontal="center" vertical="center"/>
    </xf>
    <xf numFmtId="14" fontId="19" fillId="37" borderId="10" xfId="44" applyNumberFormat="1" applyFont="1" applyFill="1" applyBorder="1" applyAlignment="1">
      <alignment horizontal="center" vertical="center"/>
    </xf>
    <xf numFmtId="49" fontId="20" fillId="38" borderId="10" xfId="0" applyNumberFormat="1" applyFont="1" applyFill="1" applyBorder="1" applyAlignment="1">
      <alignment horizontal="center"/>
    </xf>
    <xf numFmtId="49" fontId="20" fillId="37" borderId="10" xfId="0" applyNumberFormat="1" applyFont="1" applyFill="1" applyBorder="1" applyAlignment="1">
      <alignment horizontal="center"/>
    </xf>
    <xf numFmtId="0" fontId="18" fillId="0" borderId="0" xfId="0" applyFont="1" applyFill="1" applyAlignment="1">
      <alignment horizontal="left"/>
    </xf>
    <xf numFmtId="14" fontId="19" fillId="0" borderId="10" xfId="44" applyNumberFormat="1" applyFont="1" applyFill="1" applyBorder="1" applyAlignment="1">
      <alignment horizontal="center" vertical="center"/>
    </xf>
    <xf numFmtId="164" fontId="19" fillId="0" borderId="10" xfId="44" applyNumberFormat="1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6" fillId="0" borderId="10" xfId="0" applyFont="1" applyBorder="1" applyAlignment="1">
      <alignment horizontal="center"/>
    </xf>
    <xf numFmtId="14" fontId="18" fillId="0" borderId="1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/>
    <xf numFmtId="0" fontId="0" fillId="0" borderId="42" xfId="0" applyBorder="1"/>
    <xf numFmtId="0" fontId="0" fillId="0" borderId="43" xfId="0" applyBorder="1"/>
    <xf numFmtId="0" fontId="0" fillId="0" borderId="12" xfId="0" applyBorder="1"/>
    <xf numFmtId="0" fontId="0" fillId="0" borderId="44" xfId="0" applyBorder="1"/>
    <xf numFmtId="0" fontId="0" fillId="0" borderId="45" xfId="0" applyBorder="1"/>
    <xf numFmtId="0" fontId="0" fillId="0" borderId="21" xfId="0" applyBorder="1"/>
    <xf numFmtId="0" fontId="0" fillId="0" borderId="22" xfId="0" applyBorder="1"/>
    <xf numFmtId="0" fontId="5" fillId="40" borderId="28" xfId="0" applyFont="1" applyFill="1" applyBorder="1" applyAlignment="1">
      <alignment horizontal="center"/>
    </xf>
    <xf numFmtId="0" fontId="0" fillId="0" borderId="46" xfId="0" applyBorder="1"/>
    <xf numFmtId="0" fontId="0" fillId="0" borderId="13" xfId="0" applyBorder="1"/>
    <xf numFmtId="0" fontId="0" fillId="0" borderId="47" xfId="0" applyBorder="1"/>
    <xf numFmtId="0" fontId="0" fillId="0" borderId="48" xfId="0" applyBorder="1"/>
    <xf numFmtId="0" fontId="0" fillId="0" borderId="33" xfId="0" applyBorder="1"/>
    <xf numFmtId="0" fontId="0" fillId="0" borderId="49" xfId="0" applyBorder="1"/>
    <xf numFmtId="0" fontId="0" fillId="0" borderId="31" xfId="0" applyBorder="1"/>
    <xf numFmtId="0" fontId="5" fillId="40" borderId="30" xfId="0" applyFont="1" applyFill="1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30" xfId="0" applyBorder="1" applyAlignment="1">
      <alignment horizontal="center"/>
    </xf>
    <xf numFmtId="0" fontId="20" fillId="41" borderId="10" xfId="0" applyFont="1" applyFill="1" applyBorder="1" applyAlignment="1">
      <alignment horizontal="center"/>
    </xf>
    <xf numFmtId="14" fontId="20" fillId="41" borderId="10" xfId="0" applyNumberFormat="1" applyFont="1" applyFill="1" applyBorder="1" applyAlignment="1">
      <alignment horizontal="center"/>
    </xf>
    <xf numFmtId="0" fontId="19" fillId="41" borderId="10" xfId="44" applyFont="1" applyFill="1" applyBorder="1" applyAlignment="1">
      <alignment horizontal="center" vertical="center"/>
    </xf>
    <xf numFmtId="14" fontId="19" fillId="41" borderId="10" xfId="44" applyNumberFormat="1" applyFont="1" applyFill="1" applyBorder="1" applyAlignment="1">
      <alignment horizontal="center" vertical="center"/>
    </xf>
    <xf numFmtId="164" fontId="19" fillId="41" borderId="10" xfId="44" applyNumberFormat="1" applyFont="1" applyFill="1" applyBorder="1" applyAlignment="1">
      <alignment horizontal="center" vertical="center"/>
    </xf>
    <xf numFmtId="0" fontId="18" fillId="41" borderId="10" xfId="0" applyFont="1" applyFill="1" applyBorder="1" applyAlignment="1">
      <alignment horizontal="center"/>
    </xf>
    <xf numFmtId="14" fontId="18" fillId="41" borderId="10" xfId="0" applyNumberFormat="1" applyFont="1" applyFill="1" applyBorder="1" applyAlignment="1">
      <alignment horizontal="center"/>
    </xf>
    <xf numFmtId="14" fontId="20" fillId="42" borderId="10" xfId="0" applyNumberFormat="1" applyFont="1" applyFill="1" applyBorder="1" applyAlignment="1">
      <alignment horizontal="center"/>
    </xf>
    <xf numFmtId="49" fontId="19" fillId="42" borderId="10" xfId="44" applyNumberFormat="1" applyFont="1" applyFill="1" applyBorder="1" applyAlignment="1">
      <alignment horizontal="center" vertical="center"/>
    </xf>
    <xf numFmtId="14" fontId="19" fillId="42" borderId="10" xfId="44" applyNumberFormat="1" applyFont="1" applyFill="1" applyBorder="1" applyAlignment="1">
      <alignment horizontal="center" vertical="center"/>
    </xf>
    <xf numFmtId="49" fontId="20" fillId="42" borderId="10" xfId="0" applyNumberFormat="1" applyFont="1" applyFill="1" applyBorder="1" applyAlignment="1">
      <alignment horizontal="center"/>
    </xf>
    <xf numFmtId="0" fontId="0" fillId="0" borderId="0" xfId="0" applyFill="1"/>
    <xf numFmtId="0" fontId="20" fillId="38" borderId="10" xfId="0" applyFont="1" applyFill="1" applyBorder="1" applyAlignment="1">
      <alignment horizontal="center"/>
    </xf>
    <xf numFmtId="0" fontId="20" fillId="43" borderId="10" xfId="0" applyFont="1" applyFill="1" applyBorder="1" applyAlignment="1">
      <alignment horizontal="center"/>
    </xf>
    <xf numFmtId="0" fontId="18" fillId="43" borderId="10" xfId="0" applyFont="1" applyFill="1" applyBorder="1" applyAlignment="1">
      <alignment horizontal="center"/>
    </xf>
    <xf numFmtId="14" fontId="20" fillId="43" borderId="10" xfId="0" applyNumberFormat="1" applyFont="1" applyFill="1" applyBorder="1" applyAlignment="1">
      <alignment horizontal="center"/>
    </xf>
    <xf numFmtId="49" fontId="20" fillId="43" borderId="10" xfId="0" applyNumberFormat="1" applyFont="1" applyFill="1" applyBorder="1" applyAlignment="1">
      <alignment horizontal="center"/>
    </xf>
    <xf numFmtId="49" fontId="18" fillId="43" borderId="10" xfId="0" applyNumberFormat="1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49" fontId="20" fillId="0" borderId="10" xfId="0" applyNumberFormat="1" applyFont="1" applyFill="1" applyBorder="1" applyAlignment="1">
      <alignment horizontal="center"/>
    </xf>
    <xf numFmtId="0" fontId="27" fillId="35" borderId="10" xfId="0" applyFont="1" applyFill="1" applyBorder="1" applyAlignment="1">
      <alignment horizontal="center"/>
    </xf>
    <xf numFmtId="14" fontId="27" fillId="35" borderId="10" xfId="0" applyNumberFormat="1" applyFont="1" applyFill="1" applyBorder="1" applyAlignment="1">
      <alignment horizontal="center"/>
    </xf>
    <xf numFmtId="14" fontId="20" fillId="36" borderId="10" xfId="0" applyNumberFormat="1" applyFont="1" applyFill="1" applyBorder="1" applyAlignment="1">
      <alignment horizontal="center"/>
    </xf>
    <xf numFmtId="0" fontId="20" fillId="0" borderId="10" xfId="0" applyFont="1" applyFill="1" applyBorder="1" applyAlignment="1">
      <alignment horizontal="center" shrinkToFit="1"/>
    </xf>
    <xf numFmtId="0" fontId="20" fillId="0" borderId="10" xfId="43" applyNumberFormat="1" applyFont="1" applyFill="1" applyBorder="1" applyAlignment="1">
      <alignment horizontal="center" vertical="center" shrinkToFit="1"/>
    </xf>
    <xf numFmtId="0" fontId="16" fillId="0" borderId="10" xfId="0" applyFont="1" applyBorder="1" applyAlignment="1">
      <alignment horizontal="center"/>
    </xf>
    <xf numFmtId="0" fontId="20" fillId="42" borderId="10" xfId="0" applyFont="1" applyFill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44" borderId="10" xfId="0" applyFont="1" applyFill="1" applyBorder="1" applyAlignment="1">
      <alignment horizontal="center" vertical="center"/>
    </xf>
    <xf numFmtId="49" fontId="26" fillId="44" borderId="10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right"/>
    </xf>
    <xf numFmtId="49" fontId="27" fillId="35" borderId="10" xfId="0" applyNumberFormat="1" applyFont="1" applyFill="1" applyBorder="1" applyAlignment="1">
      <alignment horizontal="center"/>
    </xf>
    <xf numFmtId="0" fontId="26" fillId="0" borderId="10" xfId="0" applyFont="1" applyBorder="1" applyAlignment="1">
      <alignment horizontal="right"/>
    </xf>
    <xf numFmtId="0" fontId="26" fillId="0" borderId="10" xfId="0" applyFont="1" applyBorder="1" applyAlignment="1">
      <alignment horizontal="center" vertical="center"/>
    </xf>
    <xf numFmtId="0" fontId="0" fillId="33" borderId="0" xfId="0" applyFill="1" applyAlignment="1">
      <alignment horizontal="center"/>
    </xf>
    <xf numFmtId="0" fontId="0" fillId="35" borderId="0" xfId="0" applyFill="1" applyAlignment="1">
      <alignment horizontal="center"/>
    </xf>
    <xf numFmtId="0" fontId="0" fillId="36" borderId="0" xfId="0" applyFill="1" applyAlignment="1">
      <alignment horizontal="center"/>
    </xf>
    <xf numFmtId="0" fontId="16" fillId="0" borderId="0" xfId="0" applyFont="1" applyAlignment="1">
      <alignment horizontal="center"/>
    </xf>
    <xf numFmtId="0" fontId="0" fillId="43" borderId="0" xfId="0" applyFill="1" applyAlignment="1">
      <alignment horizontal="center"/>
    </xf>
    <xf numFmtId="0" fontId="16" fillId="0" borderId="0" xfId="0" applyFont="1" applyBorder="1" applyAlignment="1">
      <alignment horizontal="center"/>
    </xf>
    <xf numFmtId="0" fontId="26" fillId="45" borderId="10" xfId="0" applyFont="1" applyFill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14" fillId="0" borderId="0" xfId="0" applyFont="1" applyAlignment="1">
      <alignment horizontal="center"/>
    </xf>
    <xf numFmtId="0" fontId="20" fillId="44" borderId="10" xfId="0" applyFont="1" applyFill="1" applyBorder="1" applyAlignment="1">
      <alignment horizontal="center" vertical="center"/>
    </xf>
    <xf numFmtId="0" fontId="27" fillId="44" borderId="10" xfId="0" applyFont="1" applyFill="1" applyBorder="1" applyAlignment="1">
      <alignment horizontal="center" vertical="center"/>
    </xf>
    <xf numFmtId="14" fontId="18" fillId="34" borderId="10" xfId="0" applyNumberFormat="1" applyFont="1" applyFill="1" applyBorder="1"/>
    <xf numFmtId="164" fontId="19" fillId="42" borderId="10" xfId="44" applyNumberFormat="1" applyFont="1" applyFill="1" applyBorder="1" applyAlignment="1">
      <alignment horizontal="center" vertical="center"/>
    </xf>
    <xf numFmtId="0" fontId="29" fillId="45" borderId="10" xfId="0" applyFont="1" applyFill="1" applyBorder="1" applyAlignment="1">
      <alignment horizontal="center"/>
    </xf>
    <xf numFmtId="0" fontId="30" fillId="0" borderId="0" xfId="0" applyFont="1"/>
    <xf numFmtId="14" fontId="30" fillId="0" borderId="10" xfId="0" applyNumberFormat="1" applyFont="1" applyFill="1" applyBorder="1" applyAlignment="1">
      <alignment horizontal="center"/>
    </xf>
    <xf numFmtId="14" fontId="30" fillId="0" borderId="10" xfId="0" applyNumberFormat="1" applyFont="1" applyBorder="1" applyAlignment="1">
      <alignment horizontal="center"/>
    </xf>
    <xf numFmtId="0" fontId="31" fillId="0" borderId="10" xfId="45" applyFont="1" applyFill="1" applyBorder="1" applyAlignment="1">
      <alignment horizontal="center"/>
    </xf>
    <xf numFmtId="0" fontId="30" fillId="0" borderId="10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32" fillId="0" borderId="10" xfId="0" applyFont="1" applyFill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29" fillId="0" borderId="10" xfId="0" applyFont="1" applyBorder="1" applyAlignment="1">
      <alignment horizontal="center"/>
    </xf>
    <xf numFmtId="49" fontId="29" fillId="44" borderId="10" xfId="0" applyNumberFormat="1" applyFont="1" applyFill="1" applyBorder="1" applyAlignment="1">
      <alignment horizontal="center" vertical="center"/>
    </xf>
    <xf numFmtId="0" fontId="33" fillId="0" borderId="10" xfId="43" applyNumberFormat="1" applyFont="1" applyFill="1" applyBorder="1"/>
    <xf numFmtId="0" fontId="33" fillId="0" borderId="10" xfId="43" applyNumberFormat="1" applyFont="1" applyFill="1" applyBorder="1" applyAlignment="1">
      <alignment horizontal="center" vertical="center"/>
    </xf>
    <xf numFmtId="0" fontId="33" fillId="0" borderId="10" xfId="43" applyNumberFormat="1" applyFont="1" applyFill="1" applyBorder="1" applyAlignment="1">
      <alignment horizontal="left"/>
    </xf>
    <xf numFmtId="0" fontId="30" fillId="0" borderId="10" xfId="0" applyFont="1" applyFill="1" applyBorder="1"/>
    <xf numFmtId="0" fontId="30" fillId="39" borderId="10" xfId="0" applyFont="1" applyFill="1" applyBorder="1" applyAlignment="1">
      <alignment horizontal="center"/>
    </xf>
    <xf numFmtId="0" fontId="30" fillId="35" borderId="10" xfId="0" applyFont="1" applyFill="1" applyBorder="1" applyAlignment="1">
      <alignment horizontal="center"/>
    </xf>
    <xf numFmtId="14" fontId="30" fillId="35" borderId="10" xfId="0" applyNumberFormat="1" applyFont="1" applyFill="1" applyBorder="1" applyAlignment="1">
      <alignment horizontal="center"/>
    </xf>
    <xf numFmtId="0" fontId="30" fillId="43" borderId="10" xfId="0" applyFont="1" applyFill="1" applyBorder="1" applyAlignment="1">
      <alignment horizontal="center"/>
    </xf>
    <xf numFmtId="0" fontId="30" fillId="0" borderId="10" xfId="0" applyFont="1" applyFill="1" applyBorder="1" applyAlignment="1">
      <alignment horizontal="center"/>
    </xf>
    <xf numFmtId="0" fontId="33" fillId="41" borderId="10" xfId="0" applyFont="1" applyFill="1" applyBorder="1" applyAlignment="1">
      <alignment horizontal="center"/>
    </xf>
    <xf numFmtId="0" fontId="34" fillId="41" borderId="10" xfId="44" applyFont="1" applyFill="1" applyBorder="1" applyAlignment="1">
      <alignment horizontal="center" vertical="center"/>
    </xf>
    <xf numFmtId="164" fontId="34" fillId="41" borderId="10" xfId="44" applyNumberFormat="1" applyFont="1" applyFill="1" applyBorder="1" applyAlignment="1">
      <alignment horizontal="center" vertical="center"/>
    </xf>
    <xf numFmtId="164" fontId="34" fillId="0" borderId="10" xfId="44" applyNumberFormat="1" applyFont="1" applyFill="1" applyBorder="1" applyAlignment="1">
      <alignment horizontal="center" vertical="center"/>
    </xf>
    <xf numFmtId="0" fontId="30" fillId="44" borderId="10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wrapText="1"/>
    </xf>
    <xf numFmtId="0" fontId="33" fillId="34" borderId="10" xfId="0" applyFont="1" applyFill="1" applyBorder="1" applyAlignment="1">
      <alignment horizontal="center" wrapText="1"/>
    </xf>
    <xf numFmtId="0" fontId="33" fillId="0" borderId="10" xfId="0" applyFont="1" applyFill="1" applyBorder="1" applyAlignment="1">
      <alignment horizontal="center" wrapText="1"/>
    </xf>
    <xf numFmtId="0" fontId="33" fillId="0" borderId="10" xfId="0" applyFont="1" applyBorder="1" applyAlignment="1">
      <alignment horizontal="left"/>
    </xf>
    <xf numFmtId="0" fontId="33" fillId="34" borderId="10" xfId="0" applyFont="1" applyFill="1" applyBorder="1" applyAlignment="1">
      <alignment wrapText="1"/>
    </xf>
    <xf numFmtId="0" fontId="33" fillId="0" borderId="10" xfId="0" applyFont="1" applyBorder="1"/>
    <xf numFmtId="0" fontId="33" fillId="39" borderId="10" xfId="0" applyFont="1" applyFill="1" applyBorder="1" applyAlignment="1">
      <alignment horizontal="center" wrapText="1"/>
    </xf>
    <xf numFmtId="0" fontId="33" fillId="35" borderId="10" xfId="0" applyFont="1" applyFill="1" applyBorder="1" applyAlignment="1">
      <alignment horizontal="center"/>
    </xf>
    <xf numFmtId="14" fontId="33" fillId="35" borderId="10" xfId="0" applyNumberFormat="1" applyFont="1" applyFill="1" applyBorder="1" applyAlignment="1">
      <alignment horizontal="center"/>
    </xf>
    <xf numFmtId="0" fontId="33" fillId="0" borderId="10" xfId="0" applyFont="1" applyBorder="1" applyAlignment="1">
      <alignment horizontal="center"/>
    </xf>
    <xf numFmtId="0" fontId="33" fillId="37" borderId="10" xfId="0" applyFont="1" applyFill="1" applyBorder="1" applyAlignment="1">
      <alignment horizontal="center"/>
    </xf>
    <xf numFmtId="14" fontId="33" fillId="37" borderId="10" xfId="0" applyNumberFormat="1" applyFont="1" applyFill="1" applyBorder="1" applyAlignment="1">
      <alignment horizontal="center"/>
    </xf>
    <xf numFmtId="0" fontId="33" fillId="0" borderId="10" xfId="0" applyFont="1" applyFill="1" applyBorder="1" applyAlignment="1">
      <alignment horizontal="center"/>
    </xf>
    <xf numFmtId="14" fontId="33" fillId="0" borderId="10" xfId="0" applyNumberFormat="1" applyFont="1" applyFill="1" applyBorder="1" applyAlignment="1">
      <alignment horizontal="center"/>
    </xf>
    <xf numFmtId="0" fontId="33" fillId="0" borderId="10" xfId="0" applyFont="1" applyFill="1" applyBorder="1" applyAlignment="1">
      <alignment horizontal="left"/>
    </xf>
    <xf numFmtId="0" fontId="33" fillId="0" borderId="10" xfId="0" applyFont="1" applyFill="1" applyBorder="1"/>
    <xf numFmtId="0" fontId="33" fillId="39" borderId="10" xfId="0" applyFont="1" applyFill="1" applyBorder="1" applyAlignment="1">
      <alignment horizontal="center"/>
    </xf>
    <xf numFmtId="0" fontId="33" fillId="43" borderId="10" xfId="0" applyFont="1" applyFill="1" applyBorder="1" applyAlignment="1">
      <alignment horizontal="center"/>
    </xf>
    <xf numFmtId="14" fontId="33" fillId="41" borderId="10" xfId="0" applyNumberFormat="1" applyFont="1" applyFill="1" applyBorder="1" applyAlignment="1">
      <alignment horizontal="center"/>
    </xf>
    <xf numFmtId="0" fontId="35" fillId="35" borderId="10" xfId="0" applyFont="1" applyFill="1" applyBorder="1" applyAlignment="1">
      <alignment horizontal="center"/>
    </xf>
    <xf numFmtId="14" fontId="35" fillId="35" borderId="10" xfId="0" applyNumberFormat="1" applyFont="1" applyFill="1" applyBorder="1" applyAlignment="1">
      <alignment horizontal="center"/>
    </xf>
    <xf numFmtId="49" fontId="33" fillId="37" borderId="10" xfId="0" applyNumberFormat="1" applyFont="1" applyFill="1" applyBorder="1" applyAlignment="1">
      <alignment horizontal="center"/>
    </xf>
    <xf numFmtId="0" fontId="33" fillId="36" borderId="10" xfId="0" applyFont="1" applyFill="1" applyBorder="1" applyAlignment="1">
      <alignment horizontal="center"/>
    </xf>
    <xf numFmtId="14" fontId="33" fillId="36" borderId="10" xfId="0" applyNumberFormat="1" applyFont="1" applyFill="1" applyBorder="1" applyAlignment="1">
      <alignment horizontal="center"/>
    </xf>
    <xf numFmtId="0" fontId="33" fillId="38" borderId="10" xfId="0" applyFont="1" applyFill="1" applyBorder="1" applyAlignment="1">
      <alignment horizontal="center"/>
    </xf>
    <xf numFmtId="49" fontId="33" fillId="38" borderId="10" xfId="0" applyNumberFormat="1" applyFont="1" applyFill="1" applyBorder="1" applyAlignment="1">
      <alignment horizontal="center"/>
    </xf>
    <xf numFmtId="14" fontId="33" fillId="38" borderId="10" xfId="0" applyNumberFormat="1" applyFont="1" applyFill="1" applyBorder="1" applyAlignment="1">
      <alignment horizontal="center"/>
    </xf>
    <xf numFmtId="0" fontId="33" fillId="0" borderId="10" xfId="0" applyFont="1" applyBorder="1" applyAlignment="1">
      <alignment wrapText="1"/>
    </xf>
    <xf numFmtId="0" fontId="33" fillId="41" borderId="10" xfId="0" applyFont="1" applyFill="1" applyBorder="1" applyAlignment="1">
      <alignment horizontal="center" wrapText="1"/>
    </xf>
    <xf numFmtId="0" fontId="30" fillId="0" borderId="10" xfId="0" applyFont="1" applyBorder="1" applyAlignment="1">
      <alignment horizontal="left"/>
    </xf>
    <xf numFmtId="0" fontId="30" fillId="0" borderId="10" xfId="0" applyFont="1" applyBorder="1"/>
    <xf numFmtId="49" fontId="33" fillId="33" borderId="10" xfId="0" applyNumberFormat="1" applyFont="1" applyFill="1" applyBorder="1" applyAlignment="1">
      <alignment horizontal="center"/>
    </xf>
    <xf numFmtId="14" fontId="33" fillId="33" borderId="10" xfId="0" applyNumberFormat="1" applyFont="1" applyFill="1" applyBorder="1" applyAlignment="1">
      <alignment horizontal="center"/>
    </xf>
    <xf numFmtId="49" fontId="30" fillId="35" borderId="10" xfId="0" applyNumberFormat="1" applyFont="1" applyFill="1" applyBorder="1" applyAlignment="1">
      <alignment horizontal="center"/>
    </xf>
    <xf numFmtId="0" fontId="30" fillId="41" borderId="10" xfId="0" applyFont="1" applyFill="1" applyBorder="1" applyAlignment="1">
      <alignment horizontal="center"/>
    </xf>
    <xf numFmtId="14" fontId="30" fillId="41" borderId="10" xfId="0" applyNumberFormat="1" applyFont="1" applyFill="1" applyBorder="1" applyAlignment="1">
      <alignment horizontal="center"/>
    </xf>
    <xf numFmtId="0" fontId="33" fillId="34" borderId="10" xfId="0" applyFont="1" applyFill="1" applyBorder="1"/>
    <xf numFmtId="0" fontId="33" fillId="0" borderId="10" xfId="0" applyFont="1" applyFill="1" applyBorder="1" applyAlignment="1"/>
    <xf numFmtId="49" fontId="33" fillId="35" borderId="10" xfId="0" applyNumberFormat="1" applyFont="1" applyFill="1" applyBorder="1" applyAlignment="1">
      <alignment horizontal="center"/>
    </xf>
    <xf numFmtId="0" fontId="33" fillId="0" borderId="10" xfId="42" applyFont="1" applyFill="1" applyBorder="1" applyAlignment="1">
      <alignment wrapText="1"/>
    </xf>
    <xf numFmtId="14" fontId="30" fillId="34" borderId="10" xfId="0" applyNumberFormat="1" applyFont="1" applyFill="1" applyBorder="1"/>
    <xf numFmtId="0" fontId="33" fillId="0" borderId="10" xfId="0" applyFont="1" applyFill="1" applyBorder="1" applyAlignment="1">
      <alignment horizontal="center" wrapText="1" shrinkToFit="1"/>
    </xf>
    <xf numFmtId="0" fontId="18" fillId="35" borderId="10" xfId="0" applyFont="1" applyFill="1" applyBorder="1" applyAlignment="1">
      <alignment horizontal="center" vertical="center"/>
    </xf>
    <xf numFmtId="0" fontId="18" fillId="37" borderId="10" xfId="0" applyFont="1" applyFill="1" applyBorder="1" applyAlignment="1">
      <alignment horizontal="center"/>
    </xf>
    <xf numFmtId="0" fontId="20" fillId="46" borderId="10" xfId="0" applyFont="1" applyFill="1" applyBorder="1" applyAlignment="1">
      <alignment horizontal="center"/>
    </xf>
    <xf numFmtId="49" fontId="18" fillId="46" borderId="10" xfId="0" applyNumberFormat="1" applyFont="1" applyFill="1" applyBorder="1" applyAlignment="1">
      <alignment horizontal="center"/>
    </xf>
    <xf numFmtId="14" fontId="20" fillId="46" borderId="10" xfId="0" applyNumberFormat="1" applyFont="1" applyFill="1" applyBorder="1" applyAlignment="1">
      <alignment horizontal="center"/>
    </xf>
    <xf numFmtId="0" fontId="18" fillId="0" borderId="10" xfId="0" applyFont="1" applyFill="1" applyBorder="1" applyAlignment="1">
      <alignment horizontal="left"/>
    </xf>
    <xf numFmtId="0" fontId="18" fillId="38" borderId="10" xfId="0" applyFont="1" applyFill="1" applyBorder="1" applyAlignment="1">
      <alignment horizontal="center"/>
    </xf>
    <xf numFmtId="14" fontId="18" fillId="38" borderId="10" xfId="0" applyNumberFormat="1" applyFont="1" applyFill="1" applyBorder="1" applyAlignment="1">
      <alignment horizontal="center"/>
    </xf>
    <xf numFmtId="0" fontId="20" fillId="47" borderId="10" xfId="0" applyFont="1" applyFill="1" applyBorder="1" applyAlignment="1">
      <alignment horizontal="center"/>
    </xf>
    <xf numFmtId="14" fontId="20" fillId="47" borderId="10" xfId="0" applyNumberFormat="1" applyFont="1" applyFill="1" applyBorder="1" applyAlignment="1">
      <alignment horizontal="center"/>
    </xf>
    <xf numFmtId="49" fontId="20" fillId="36" borderId="10" xfId="0" applyNumberFormat="1" applyFont="1" applyFill="1" applyBorder="1" applyAlignment="1">
      <alignment horizontal="center"/>
    </xf>
    <xf numFmtId="0" fontId="36" fillId="33" borderId="10" xfId="0" applyFont="1" applyFill="1" applyBorder="1" applyAlignment="1">
      <alignment horizontal="center"/>
    </xf>
    <xf numFmtId="14" fontId="36" fillId="33" borderId="10" xfId="0" applyNumberFormat="1" applyFont="1" applyFill="1" applyBorder="1" applyAlignment="1">
      <alignment horizontal="center"/>
    </xf>
    <xf numFmtId="0" fontId="20" fillId="48" borderId="10" xfId="0" applyFont="1" applyFill="1" applyBorder="1" applyAlignment="1">
      <alignment horizontal="center"/>
    </xf>
    <xf numFmtId="49" fontId="20" fillId="48" borderId="10" xfId="0" applyNumberFormat="1" applyFont="1" applyFill="1" applyBorder="1" applyAlignment="1">
      <alignment horizontal="center"/>
    </xf>
    <xf numFmtId="14" fontId="20" fillId="48" borderId="10" xfId="0" applyNumberFormat="1" applyFont="1" applyFill="1" applyBorder="1" applyAlignment="1">
      <alignment horizontal="center"/>
    </xf>
    <xf numFmtId="49" fontId="18" fillId="33" borderId="10" xfId="0" applyNumberFormat="1" applyFont="1" applyFill="1" applyBorder="1" applyAlignment="1">
      <alignment horizontal="center"/>
    </xf>
    <xf numFmtId="0" fontId="19" fillId="48" borderId="10" xfId="44" applyFont="1" applyFill="1" applyBorder="1" applyAlignment="1">
      <alignment horizontal="center" vertical="center"/>
    </xf>
    <xf numFmtId="14" fontId="19" fillId="48" borderId="10" xfId="44" applyNumberFormat="1" applyFont="1" applyFill="1" applyBorder="1" applyAlignment="1">
      <alignment horizontal="center" vertical="center"/>
    </xf>
    <xf numFmtId="49" fontId="20" fillId="33" borderId="10" xfId="0" applyNumberFormat="1" applyFont="1" applyFill="1" applyBorder="1" applyAlignment="1">
      <alignment horizontal="center"/>
    </xf>
    <xf numFmtId="14" fontId="18" fillId="43" borderId="10" xfId="0" applyNumberFormat="1" applyFont="1" applyFill="1" applyBorder="1" applyAlignment="1">
      <alignment horizontal="center"/>
    </xf>
    <xf numFmtId="0" fontId="26" fillId="44" borderId="10" xfId="0" applyFont="1" applyFill="1" applyBorder="1" applyAlignment="1">
      <alignment horizontal="center"/>
    </xf>
    <xf numFmtId="0" fontId="20" fillId="33" borderId="10" xfId="0" applyFont="1" applyFill="1" applyBorder="1" applyAlignment="1">
      <alignment horizontal="center" wrapText="1"/>
    </xf>
    <xf numFmtId="0" fontId="18" fillId="33" borderId="10" xfId="0" applyFont="1" applyFill="1" applyBorder="1" applyAlignment="1">
      <alignment horizontal="center" vertical="center"/>
    </xf>
    <xf numFmtId="0" fontId="18" fillId="51" borderId="10" xfId="0" applyFont="1" applyFill="1" applyBorder="1" applyAlignment="1">
      <alignment horizontal="center" vertical="center"/>
    </xf>
    <xf numFmtId="0" fontId="27" fillId="51" borderId="10" xfId="0" applyFont="1" applyFill="1" applyBorder="1" applyAlignment="1">
      <alignment horizontal="center" vertical="center"/>
    </xf>
    <xf numFmtId="0" fontId="18" fillId="0" borderId="0" xfId="0" applyFont="1" applyFill="1" applyBorder="1"/>
    <xf numFmtId="0" fontId="18" fillId="0" borderId="0" xfId="0" applyFont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8" fillId="0" borderId="0" xfId="0" applyFont="1" applyBorder="1" applyAlignment="1">
      <alignment horizontal="left"/>
    </xf>
    <xf numFmtId="0" fontId="18" fillId="0" borderId="0" xfId="0" applyFont="1" applyBorder="1"/>
    <xf numFmtId="0" fontId="18" fillId="0" borderId="0" xfId="0" applyFont="1" applyFill="1" applyBorder="1" applyAlignment="1">
      <alignment horizontal="left"/>
    </xf>
    <xf numFmtId="0" fontId="18" fillId="0" borderId="0" xfId="0" applyFont="1" applyBorder="1" applyAlignment="1">
      <alignment horizontal="center" vertical="center"/>
    </xf>
    <xf numFmtId="0" fontId="20" fillId="34" borderId="10" xfId="0" applyFont="1" applyFill="1" applyBorder="1" applyAlignment="1">
      <alignment horizontal="left"/>
    </xf>
    <xf numFmtId="0" fontId="18" fillId="34" borderId="0" xfId="0" applyFont="1" applyFill="1"/>
    <xf numFmtId="0" fontId="18" fillId="44" borderId="10" xfId="0" applyFont="1" applyFill="1" applyBorder="1" applyAlignment="1">
      <alignment horizontal="center"/>
    </xf>
    <xf numFmtId="0" fontId="20" fillId="51" borderId="10" xfId="0" applyFont="1" applyFill="1" applyBorder="1" applyAlignment="1">
      <alignment horizontal="center" wrapText="1"/>
    </xf>
    <xf numFmtId="0" fontId="20" fillId="51" borderId="10" xfId="0" applyFont="1" applyFill="1" applyBorder="1" applyAlignment="1">
      <alignment horizontal="left"/>
    </xf>
    <xf numFmtId="0" fontId="20" fillId="51" borderId="10" xfId="0" applyFont="1" applyFill="1" applyBorder="1" applyAlignment="1">
      <alignment horizontal="center"/>
    </xf>
    <xf numFmtId="0" fontId="27" fillId="51" borderId="10" xfId="0" applyFont="1" applyFill="1" applyBorder="1" applyAlignment="1">
      <alignment horizontal="center"/>
    </xf>
    <xf numFmtId="14" fontId="27" fillId="51" borderId="10" xfId="0" applyNumberFormat="1" applyFont="1" applyFill="1" applyBorder="1" applyAlignment="1">
      <alignment horizontal="center"/>
    </xf>
    <xf numFmtId="14" fontId="20" fillId="51" borderId="10" xfId="0" applyNumberFormat="1" applyFont="1" applyFill="1" applyBorder="1" applyAlignment="1">
      <alignment horizontal="center"/>
    </xf>
    <xf numFmtId="49" fontId="20" fillId="51" borderId="10" xfId="0" applyNumberFormat="1" applyFont="1" applyFill="1" applyBorder="1" applyAlignment="1">
      <alignment horizontal="center"/>
    </xf>
    <xf numFmtId="0" fontId="18" fillId="51" borderId="10" xfId="0" applyFont="1" applyFill="1" applyBorder="1" applyAlignment="1">
      <alignment horizontal="center"/>
    </xf>
    <xf numFmtId="49" fontId="27" fillId="51" borderId="10" xfId="0" applyNumberFormat="1" applyFont="1" applyFill="1" applyBorder="1" applyAlignment="1">
      <alignment horizontal="center"/>
    </xf>
    <xf numFmtId="0" fontId="20" fillId="51" borderId="10" xfId="43" applyNumberFormat="1" applyFont="1" applyFill="1" applyBorder="1" applyAlignment="1">
      <alignment horizontal="center" vertical="center"/>
    </xf>
    <xf numFmtId="0" fontId="20" fillId="51" borderId="10" xfId="43" applyNumberFormat="1" applyFont="1" applyFill="1" applyBorder="1" applyAlignment="1">
      <alignment horizontal="left"/>
    </xf>
    <xf numFmtId="14" fontId="18" fillId="51" borderId="10" xfId="0" applyNumberFormat="1" applyFont="1" applyFill="1" applyBorder="1" applyAlignment="1">
      <alignment horizontal="center"/>
    </xf>
    <xf numFmtId="49" fontId="18" fillId="51" borderId="10" xfId="0" applyNumberFormat="1" applyFont="1" applyFill="1" applyBorder="1" applyAlignment="1">
      <alignment horizontal="center"/>
    </xf>
    <xf numFmtId="0" fontId="20" fillId="0" borderId="17" xfId="0" applyFont="1" applyBorder="1" applyAlignment="1">
      <alignment horizontal="center"/>
    </xf>
    <xf numFmtId="0" fontId="20" fillId="0" borderId="17" xfId="0" applyFont="1" applyFill="1" applyBorder="1" applyAlignment="1">
      <alignment horizontal="center"/>
    </xf>
    <xf numFmtId="0" fontId="20" fillId="39" borderId="17" xfId="0" applyFont="1" applyFill="1" applyBorder="1" applyAlignment="1">
      <alignment horizontal="center"/>
    </xf>
    <xf numFmtId="0" fontId="20" fillId="35" borderId="17" xfId="0" applyFont="1" applyFill="1" applyBorder="1" applyAlignment="1">
      <alignment horizontal="center"/>
    </xf>
    <xf numFmtId="14" fontId="20" fillId="35" borderId="17" xfId="0" applyNumberFormat="1" applyFont="1" applyFill="1" applyBorder="1" applyAlignment="1">
      <alignment horizontal="center"/>
    </xf>
    <xf numFmtId="14" fontId="20" fillId="0" borderId="17" xfId="0" applyNumberFormat="1" applyFont="1" applyFill="1" applyBorder="1" applyAlignment="1">
      <alignment horizontal="center"/>
    </xf>
    <xf numFmtId="0" fontId="20" fillId="37" borderId="17" xfId="0" applyFont="1" applyFill="1" applyBorder="1" applyAlignment="1">
      <alignment horizontal="center"/>
    </xf>
    <xf numFmtId="14" fontId="20" fillId="37" borderId="17" xfId="0" applyNumberFormat="1" applyFont="1" applyFill="1" applyBorder="1" applyAlignment="1">
      <alignment horizontal="center"/>
    </xf>
    <xf numFmtId="0" fontId="18" fillId="44" borderId="17" xfId="0" applyFont="1" applyFill="1" applyBorder="1" applyAlignment="1">
      <alignment horizontal="center" vertical="center"/>
    </xf>
    <xf numFmtId="0" fontId="19" fillId="51" borderId="10" xfId="44" applyFont="1" applyFill="1" applyBorder="1" applyAlignment="1">
      <alignment horizontal="center" vertical="center"/>
    </xf>
    <xf numFmtId="14" fontId="28" fillId="51" borderId="10" xfId="45" applyNumberFormat="1" applyFont="1" applyFill="1" applyBorder="1" applyAlignment="1">
      <alignment horizontal="center"/>
    </xf>
    <xf numFmtId="49" fontId="20" fillId="49" borderId="10" xfId="0" applyNumberFormat="1" applyFont="1" applyFill="1" applyBorder="1" applyAlignment="1">
      <alignment horizontal="center" wrapText="1" shrinkToFit="1"/>
    </xf>
    <xf numFmtId="0" fontId="21" fillId="0" borderId="10" xfId="0" applyFont="1" applyFill="1" applyBorder="1" applyAlignment="1">
      <alignment horizontal="left"/>
    </xf>
    <xf numFmtId="0" fontId="20" fillId="0" borderId="10" xfId="42" applyFont="1" applyFill="1" applyBorder="1" applyAlignment="1">
      <alignment horizontal="left" wrapText="1"/>
    </xf>
    <xf numFmtId="0" fontId="20" fillId="0" borderId="10" xfId="0" applyFont="1" applyFill="1" applyBorder="1" applyAlignment="1">
      <alignment horizontal="left" wrapText="1"/>
    </xf>
    <xf numFmtId="0" fontId="20" fillId="51" borderId="10" xfId="0" applyFont="1" applyFill="1" applyBorder="1" applyAlignment="1">
      <alignment horizontal="left" wrapText="1"/>
    </xf>
    <xf numFmtId="0" fontId="20" fillId="33" borderId="10" xfId="0" applyFont="1" applyFill="1" applyBorder="1" applyAlignment="1">
      <alignment horizontal="left" wrapText="1"/>
    </xf>
    <xf numFmtId="0" fontId="20" fillId="0" borderId="10" xfId="0" applyFont="1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left" vertical="top" wrapText="1"/>
    </xf>
    <xf numFmtId="0" fontId="20" fillId="0" borderId="10" xfId="0" applyFont="1" applyBorder="1" applyAlignment="1">
      <alignment horizontal="center" wrapText="1"/>
    </xf>
    <xf numFmtId="0" fontId="20" fillId="0" borderId="10" xfId="42" applyFont="1" applyFill="1" applyBorder="1" applyAlignment="1">
      <alignment horizontal="center" wrapText="1"/>
    </xf>
    <xf numFmtId="0" fontId="20" fillId="0" borderId="10" xfId="43" applyNumberFormat="1" applyFont="1" applyFill="1" applyBorder="1" applyAlignment="1">
      <alignment horizontal="center"/>
    </xf>
    <xf numFmtId="0" fontId="20" fillId="0" borderId="10" xfId="43" applyNumberFormat="1" applyFont="1" applyBorder="1" applyAlignment="1">
      <alignment horizontal="center"/>
    </xf>
    <xf numFmtId="0" fontId="20" fillId="51" borderId="10" xfId="43" applyNumberFormat="1" applyFont="1" applyFill="1" applyBorder="1" applyAlignment="1">
      <alignment horizontal="center"/>
    </xf>
    <xf numFmtId="0" fontId="20" fillId="34" borderId="10" xfId="43" applyNumberFormat="1" applyFont="1" applyFill="1" applyBorder="1" applyAlignment="1">
      <alignment horizontal="center"/>
    </xf>
    <xf numFmtId="14" fontId="18" fillId="0" borderId="10" xfId="0" applyNumberFormat="1" applyFont="1" applyBorder="1" applyAlignment="1">
      <alignment horizontal="right"/>
    </xf>
    <xf numFmtId="14" fontId="18" fillId="0" borderId="10" xfId="0" applyNumberFormat="1" applyFont="1" applyFill="1" applyBorder="1" applyAlignment="1">
      <alignment horizontal="right"/>
    </xf>
    <xf numFmtId="14" fontId="18" fillId="34" borderId="10" xfId="0" applyNumberFormat="1" applyFont="1" applyFill="1" applyBorder="1" applyAlignment="1">
      <alignment horizontal="right"/>
    </xf>
    <xf numFmtId="0" fontId="18" fillId="0" borderId="10" xfId="0" applyFont="1" applyFill="1" applyBorder="1" applyAlignment="1">
      <alignment horizontal="right"/>
    </xf>
    <xf numFmtId="14" fontId="18" fillId="50" borderId="10" xfId="0" applyNumberFormat="1" applyFont="1" applyFill="1" applyBorder="1" applyAlignment="1">
      <alignment horizontal="right"/>
    </xf>
    <xf numFmtId="14" fontId="18" fillId="51" borderId="10" xfId="0" applyNumberFormat="1" applyFont="1" applyFill="1" applyBorder="1" applyAlignment="1">
      <alignment horizontal="right"/>
    </xf>
    <xf numFmtId="0" fontId="18" fillId="51" borderId="10" xfId="0" applyFont="1" applyFill="1" applyBorder="1" applyAlignment="1">
      <alignment horizontal="right"/>
    </xf>
    <xf numFmtId="0" fontId="18" fillId="0" borderId="10" xfId="0" applyFont="1" applyBorder="1" applyAlignment="1">
      <alignment horizontal="right"/>
    </xf>
    <xf numFmtId="0" fontId="18" fillId="50" borderId="10" xfId="0" applyFont="1" applyFill="1" applyBorder="1" applyAlignment="1">
      <alignment horizontal="right"/>
    </xf>
    <xf numFmtId="0" fontId="18" fillId="34" borderId="10" xfId="0" applyFont="1" applyFill="1" applyBorder="1" applyAlignment="1">
      <alignment horizontal="right"/>
    </xf>
    <xf numFmtId="14" fontId="18" fillId="33" borderId="10" xfId="0" applyNumberFormat="1" applyFont="1" applyFill="1" applyBorder="1" applyAlignment="1">
      <alignment horizontal="right"/>
    </xf>
    <xf numFmtId="14" fontId="20" fillId="0" borderId="10" xfId="0" applyNumberFormat="1" applyFont="1" applyBorder="1" applyAlignment="1">
      <alignment horizontal="right"/>
    </xf>
    <xf numFmtId="0" fontId="18" fillId="33" borderId="10" xfId="0" applyFont="1" applyFill="1" applyBorder="1" applyAlignment="1">
      <alignment horizontal="right"/>
    </xf>
    <xf numFmtId="0" fontId="18" fillId="0" borderId="0" xfId="0" applyFont="1" applyBorder="1" applyAlignment="1">
      <alignment horizontal="right"/>
    </xf>
    <xf numFmtId="0" fontId="18" fillId="0" borderId="0" xfId="0" applyFont="1" applyAlignment="1">
      <alignment horizontal="right"/>
    </xf>
    <xf numFmtId="0" fontId="20" fillId="0" borderId="17" xfId="0" applyFont="1" applyFill="1" applyBorder="1" applyAlignment="1">
      <alignment horizontal="left"/>
    </xf>
    <xf numFmtId="0" fontId="20" fillId="0" borderId="17" xfId="0" applyFont="1" applyFill="1" applyBorder="1" applyAlignment="1">
      <alignment horizontal="center" shrinkToFit="1"/>
    </xf>
    <xf numFmtId="0" fontId="20" fillId="0" borderId="17" xfId="0" applyFont="1" applyBorder="1" applyAlignment="1">
      <alignment horizontal="center" wrapText="1"/>
    </xf>
    <xf numFmtId="14" fontId="18" fillId="0" borderId="17" xfId="0" applyNumberFormat="1" applyFont="1" applyBorder="1" applyAlignment="1">
      <alignment horizontal="right"/>
    </xf>
    <xf numFmtId="0" fontId="18" fillId="44" borderId="17" xfId="0" applyFont="1" applyFill="1" applyBorder="1" applyAlignment="1">
      <alignment horizontal="center"/>
    </xf>
    <xf numFmtId="0" fontId="37" fillId="0" borderId="0" xfId="0" applyFont="1" applyAlignment="1">
      <alignment wrapText="1"/>
    </xf>
    <xf numFmtId="0" fontId="38" fillId="0" borderId="0" xfId="0" applyFont="1" applyAlignment="1">
      <alignment horizontal="right" vertical="center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horizontal="right"/>
    </xf>
    <xf numFmtId="0" fontId="5" fillId="40" borderId="31" xfId="0" applyFont="1" applyFill="1" applyBorder="1" applyAlignment="1">
      <alignment horizontal="center"/>
    </xf>
    <xf numFmtId="0" fontId="5" fillId="40" borderId="21" xfId="0" applyFont="1" applyFill="1" applyBorder="1" applyAlignment="1">
      <alignment horizontal="center"/>
    </xf>
    <xf numFmtId="0" fontId="5" fillId="40" borderId="22" xfId="0" applyFont="1" applyFill="1" applyBorder="1" applyAlignment="1">
      <alignment horizontal="center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cel Built-in Normal" xfId="4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5" builtinId="8"/>
    <cellStyle name="Input" xfId="9" builtinId="20" customBuiltin="1"/>
    <cellStyle name="Linked Cell" xfId="12" builtinId="24" customBuiltin="1"/>
    <cellStyle name="Neutral" xfId="8" builtinId="28" customBuiltin="1"/>
    <cellStyle name="Normaallaad_Põhi" xfId="42"/>
    <cellStyle name="Normal" xfId="0" builtinId="0"/>
    <cellStyle name="Normal 2" xfId="43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Maakond!$B$1</c:f>
              <c:strCache>
                <c:ptCount val="1"/>
                <c:pt idx="0">
                  <c:v>A</c:v>
                </c:pt>
              </c:strCache>
            </c:strRef>
          </c:tx>
          <c:invertIfNegative val="0"/>
          <c:cat>
            <c:strRef>
              <c:f>Maakond!$A$2:$A$16</c:f>
              <c:strCache>
                <c:ptCount val="15"/>
                <c:pt idx="0">
                  <c:v>Harjumaa</c:v>
                </c:pt>
                <c:pt idx="1">
                  <c:v>Hiiumaa</c:v>
                </c:pt>
                <c:pt idx="2">
                  <c:v>Ida-Virumaa</c:v>
                </c:pt>
                <c:pt idx="3">
                  <c:v>Jõgevamaa</c:v>
                </c:pt>
                <c:pt idx="4">
                  <c:v>Järvamaa</c:v>
                </c:pt>
                <c:pt idx="5">
                  <c:v>Läänemaa</c:v>
                </c:pt>
                <c:pt idx="6">
                  <c:v>Lääne-Virumaa</c:v>
                </c:pt>
                <c:pt idx="7">
                  <c:v>Põlvamaa</c:v>
                </c:pt>
                <c:pt idx="8">
                  <c:v>Pärnumaa</c:v>
                </c:pt>
                <c:pt idx="9">
                  <c:v>Raplamaa</c:v>
                </c:pt>
                <c:pt idx="10">
                  <c:v>Saaremaa</c:v>
                </c:pt>
                <c:pt idx="11">
                  <c:v>Tartumaa</c:v>
                </c:pt>
                <c:pt idx="12">
                  <c:v>Valgamaa</c:v>
                </c:pt>
                <c:pt idx="13">
                  <c:v>Viljandimaa</c:v>
                </c:pt>
                <c:pt idx="14">
                  <c:v>Võrumaa</c:v>
                </c:pt>
              </c:strCache>
            </c:strRef>
          </c:cat>
          <c:val>
            <c:numRef>
              <c:f>Maakond!$B$2:$B$16</c:f>
              <c:numCache>
                <c:formatCode>General</c:formatCode>
                <c:ptCount val="15"/>
                <c:pt idx="0">
                  <c:v>16</c:v>
                </c:pt>
                <c:pt idx="1">
                  <c:v>0</c:v>
                </c:pt>
                <c:pt idx="2">
                  <c:v>12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80-475D-A2EB-B2D5DDCBA1E8}"/>
            </c:ext>
          </c:extLst>
        </c:ser>
        <c:ser>
          <c:idx val="1"/>
          <c:order val="1"/>
          <c:tx>
            <c:strRef>
              <c:f>Maakond!$C$1</c:f>
              <c:strCache>
                <c:ptCount val="1"/>
                <c:pt idx="0">
                  <c:v>B</c:v>
                </c:pt>
              </c:strCache>
            </c:strRef>
          </c:tx>
          <c:invertIfNegative val="0"/>
          <c:cat>
            <c:strRef>
              <c:f>Maakond!$A$2:$A$16</c:f>
              <c:strCache>
                <c:ptCount val="15"/>
                <c:pt idx="0">
                  <c:v>Harjumaa</c:v>
                </c:pt>
                <c:pt idx="1">
                  <c:v>Hiiumaa</c:v>
                </c:pt>
                <c:pt idx="2">
                  <c:v>Ida-Virumaa</c:v>
                </c:pt>
                <c:pt idx="3">
                  <c:v>Jõgevamaa</c:v>
                </c:pt>
                <c:pt idx="4">
                  <c:v>Järvamaa</c:v>
                </c:pt>
                <c:pt idx="5">
                  <c:v>Läänemaa</c:v>
                </c:pt>
                <c:pt idx="6">
                  <c:v>Lääne-Virumaa</c:v>
                </c:pt>
                <c:pt idx="7">
                  <c:v>Põlvamaa</c:v>
                </c:pt>
                <c:pt idx="8">
                  <c:v>Pärnumaa</c:v>
                </c:pt>
                <c:pt idx="9">
                  <c:v>Raplamaa</c:v>
                </c:pt>
                <c:pt idx="10">
                  <c:v>Saaremaa</c:v>
                </c:pt>
                <c:pt idx="11">
                  <c:v>Tartumaa</c:v>
                </c:pt>
                <c:pt idx="12">
                  <c:v>Valgamaa</c:v>
                </c:pt>
                <c:pt idx="13">
                  <c:v>Viljandimaa</c:v>
                </c:pt>
                <c:pt idx="14">
                  <c:v>Võrumaa</c:v>
                </c:pt>
              </c:strCache>
            </c:strRef>
          </c:cat>
          <c:val>
            <c:numRef>
              <c:f>Maakond!$C$2:$C$16</c:f>
              <c:numCache>
                <c:formatCode>General</c:formatCode>
                <c:ptCount val="15"/>
                <c:pt idx="0">
                  <c:v>18</c:v>
                </c:pt>
                <c:pt idx="1">
                  <c:v>0</c:v>
                </c:pt>
                <c:pt idx="2">
                  <c:v>4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3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80-475D-A2EB-B2D5DDCBA1E8}"/>
            </c:ext>
          </c:extLst>
        </c:ser>
        <c:ser>
          <c:idx val="2"/>
          <c:order val="2"/>
          <c:tx>
            <c:strRef>
              <c:f>Maakond!$D$1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cat>
            <c:strRef>
              <c:f>Maakond!$A$2:$A$16</c:f>
              <c:strCache>
                <c:ptCount val="15"/>
                <c:pt idx="0">
                  <c:v>Harjumaa</c:v>
                </c:pt>
                <c:pt idx="1">
                  <c:v>Hiiumaa</c:v>
                </c:pt>
                <c:pt idx="2">
                  <c:v>Ida-Virumaa</c:v>
                </c:pt>
                <c:pt idx="3">
                  <c:v>Jõgevamaa</c:v>
                </c:pt>
                <c:pt idx="4">
                  <c:v>Järvamaa</c:v>
                </c:pt>
                <c:pt idx="5">
                  <c:v>Läänemaa</c:v>
                </c:pt>
                <c:pt idx="6">
                  <c:v>Lääne-Virumaa</c:v>
                </c:pt>
                <c:pt idx="7">
                  <c:v>Põlvamaa</c:v>
                </c:pt>
                <c:pt idx="8">
                  <c:v>Pärnumaa</c:v>
                </c:pt>
                <c:pt idx="9">
                  <c:v>Raplamaa</c:v>
                </c:pt>
                <c:pt idx="10">
                  <c:v>Saaremaa</c:v>
                </c:pt>
                <c:pt idx="11">
                  <c:v>Tartumaa</c:v>
                </c:pt>
                <c:pt idx="12">
                  <c:v>Valgamaa</c:v>
                </c:pt>
                <c:pt idx="13">
                  <c:v>Viljandimaa</c:v>
                </c:pt>
                <c:pt idx="14">
                  <c:v>Võrumaa</c:v>
                </c:pt>
              </c:strCache>
            </c:strRef>
          </c:cat>
          <c:val>
            <c:numRef>
              <c:f>Maakond!$D$2:$D$16</c:f>
              <c:numCache>
                <c:formatCode>General</c:formatCode>
                <c:ptCount val="15"/>
                <c:pt idx="0">
                  <c:v>63</c:v>
                </c:pt>
                <c:pt idx="1">
                  <c:v>0</c:v>
                </c:pt>
                <c:pt idx="2">
                  <c:v>13</c:v>
                </c:pt>
                <c:pt idx="3">
                  <c:v>3</c:v>
                </c:pt>
                <c:pt idx="4">
                  <c:v>7</c:v>
                </c:pt>
                <c:pt idx="5">
                  <c:v>3</c:v>
                </c:pt>
                <c:pt idx="6">
                  <c:v>15</c:v>
                </c:pt>
                <c:pt idx="7">
                  <c:v>3</c:v>
                </c:pt>
                <c:pt idx="8">
                  <c:v>9</c:v>
                </c:pt>
                <c:pt idx="9">
                  <c:v>7</c:v>
                </c:pt>
                <c:pt idx="10">
                  <c:v>6</c:v>
                </c:pt>
                <c:pt idx="11">
                  <c:v>27</c:v>
                </c:pt>
                <c:pt idx="12">
                  <c:v>4</c:v>
                </c:pt>
                <c:pt idx="13">
                  <c:v>6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80-475D-A2EB-B2D5DDCBA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494840"/>
        <c:axId val="319491704"/>
      </c:barChart>
      <c:catAx>
        <c:axId val="3194948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9491704"/>
        <c:crosses val="autoZero"/>
        <c:auto val="1"/>
        <c:lblAlgn val="ctr"/>
        <c:lblOffset val="100"/>
        <c:noMultiLvlLbl val="0"/>
      </c:catAx>
      <c:valAx>
        <c:axId val="319491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19494840"/>
        <c:crosses val="autoZero"/>
        <c:crossBetween val="between"/>
        <c:majorUnit val="5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b="1"/>
              <a:t>EKTL kategooriate</a:t>
            </a:r>
            <a:r>
              <a:rPr lang="et-EE" b="1" baseline="0"/>
              <a:t> lõikes</a:t>
            </a:r>
            <a:endParaRPr lang="et-EE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EKTL!$B$1</c:f>
              <c:strCache>
                <c:ptCount val="1"/>
                <c:pt idx="0">
                  <c:v>Ei ole liidus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t-E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EKTL!$A$2:$A$4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EKTL!$B$2:$B$4</c:f>
              <c:numCache>
                <c:formatCode>General</c:formatCode>
                <c:ptCount val="3"/>
                <c:pt idx="0">
                  <c:v>27</c:v>
                </c:pt>
                <c:pt idx="1">
                  <c:v>30</c:v>
                </c:pt>
                <c:pt idx="2">
                  <c:v>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F7-4F41-B495-C0B2DAF960F4}"/>
            </c:ext>
          </c:extLst>
        </c:ser>
        <c:ser>
          <c:idx val="1"/>
          <c:order val="1"/>
          <c:tx>
            <c:strRef>
              <c:f>EKTL!$C$1</c:f>
              <c:strCache>
                <c:ptCount val="1"/>
                <c:pt idx="0">
                  <c:v>EKTL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t-E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EKTL!$A$2:$A$4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EKTL!$C$2:$C$4</c:f>
              <c:numCache>
                <c:formatCode>General</c:formatCode>
                <c:ptCount val="3"/>
                <c:pt idx="0">
                  <c:v>5</c:v>
                </c:pt>
                <c:pt idx="1">
                  <c:v>3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F7-4F41-B495-C0B2DAF960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8638984"/>
        <c:axId val="318638592"/>
      </c:barChart>
      <c:catAx>
        <c:axId val="318638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318638592"/>
        <c:crosses val="autoZero"/>
        <c:auto val="1"/>
        <c:lblAlgn val="ctr"/>
        <c:lblOffset val="100"/>
        <c:noMultiLvlLbl val="0"/>
      </c:catAx>
      <c:valAx>
        <c:axId val="318638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318638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004811898512687"/>
          <c:y val="0.91459959792260015"/>
          <c:w val="0.70712598425196849"/>
          <c:h val="6.4123806332719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'Tegevusala+Maakond'!$B$1</c:f>
              <c:strCache>
                <c:ptCount val="1"/>
                <c:pt idx="0">
                  <c:v>HR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'Tegevusala+Maakond'!$B$2:$B$30</c:f>
              <c:numCache>
                <c:formatCode>General</c:formatCode>
                <c:ptCount val="29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13</c:v>
                </c:pt>
                <c:pt idx="8">
                  <c:v>5</c:v>
                </c:pt>
                <c:pt idx="9">
                  <c:v>3</c:v>
                </c:pt>
                <c:pt idx="10">
                  <c:v>1</c:v>
                </c:pt>
                <c:pt idx="11">
                  <c:v>4</c:v>
                </c:pt>
                <c:pt idx="12">
                  <c:v>1</c:v>
                </c:pt>
                <c:pt idx="13">
                  <c:v>1</c:v>
                </c:pt>
                <c:pt idx="14">
                  <c:v>13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3</c:v>
                </c:pt>
                <c:pt idx="22">
                  <c:v>19</c:v>
                </c:pt>
                <c:pt idx="23">
                  <c:v>17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6</c:v>
                </c:pt>
                <c:pt idx="2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92-4272-B904-06C233E2AE5A}"/>
            </c:ext>
          </c:extLst>
        </c:ser>
        <c:ser>
          <c:idx val="1"/>
          <c:order val="1"/>
          <c:tx>
            <c:strRef>
              <c:f>'Tegevusala+Maakond'!$C$1</c:f>
              <c:strCache>
                <c:ptCount val="1"/>
                <c:pt idx="0">
                  <c:v>HI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'Tegevusala+Maakond'!$C$2:$C$30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92-4272-B904-06C233E2AE5A}"/>
            </c:ext>
          </c:extLst>
        </c:ser>
        <c:ser>
          <c:idx val="2"/>
          <c:order val="2"/>
          <c:tx>
            <c:strRef>
              <c:f>'Tegevusala+Maakond'!$D$1</c:f>
              <c:strCache>
                <c:ptCount val="1"/>
                <c:pt idx="0">
                  <c:v>IV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'Tegevusala+Maakond'!$D$2:$D$30</c:f>
              <c:numCache>
                <c:formatCode>General</c:formatCode>
                <c:ptCount val="2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8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92-4272-B904-06C233E2AE5A}"/>
            </c:ext>
          </c:extLst>
        </c:ser>
        <c:ser>
          <c:idx val="3"/>
          <c:order val="3"/>
          <c:tx>
            <c:strRef>
              <c:f>'Tegevusala+Maakond'!$E$1</c:f>
              <c:strCache>
                <c:ptCount val="1"/>
                <c:pt idx="0">
                  <c:v>JÕ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'Tegevusala+Maakond'!$E$2:$E$30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92-4272-B904-06C233E2AE5A}"/>
            </c:ext>
          </c:extLst>
        </c:ser>
        <c:ser>
          <c:idx val="4"/>
          <c:order val="4"/>
          <c:tx>
            <c:strRef>
              <c:f>'Tegevusala+Maakond'!$F$1</c:f>
              <c:strCache>
                <c:ptCount val="1"/>
                <c:pt idx="0">
                  <c:v>JÄ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'Tegevusala+Maakond'!$F$2:$F$30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92-4272-B904-06C233E2AE5A}"/>
            </c:ext>
          </c:extLst>
        </c:ser>
        <c:ser>
          <c:idx val="5"/>
          <c:order val="5"/>
          <c:tx>
            <c:strRef>
              <c:f>'Tegevusala+Maakond'!$G$1</c:f>
              <c:strCache>
                <c:ptCount val="1"/>
                <c:pt idx="0">
                  <c:v>LÄ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'Tegevusala+Maakond'!$G$2:$G$30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92-4272-B904-06C233E2AE5A}"/>
            </c:ext>
          </c:extLst>
        </c:ser>
        <c:ser>
          <c:idx val="6"/>
          <c:order val="6"/>
          <c:tx>
            <c:strRef>
              <c:f>'Tegevusala+Maakond'!$H$1</c:f>
              <c:strCache>
                <c:ptCount val="1"/>
                <c:pt idx="0">
                  <c:v>LV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'Tegevusala+Maakond'!$H$2:$H$30</c:f>
              <c:numCache>
                <c:formatCode>General</c:formatCode>
                <c:ptCount val="2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4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892-4272-B904-06C233E2AE5A}"/>
            </c:ext>
          </c:extLst>
        </c:ser>
        <c:ser>
          <c:idx val="7"/>
          <c:order val="7"/>
          <c:tx>
            <c:strRef>
              <c:f>'Tegevusala+Maakond'!$I$1</c:f>
              <c:strCache>
                <c:ptCount val="1"/>
                <c:pt idx="0">
                  <c:v>PÕ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'Tegevusala+Maakond'!$I$2:$I$30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92-4272-B904-06C233E2AE5A}"/>
            </c:ext>
          </c:extLst>
        </c:ser>
        <c:ser>
          <c:idx val="8"/>
          <c:order val="8"/>
          <c:tx>
            <c:strRef>
              <c:f>'Tegevusala+Maakond'!$J$1</c:f>
              <c:strCache>
                <c:ptCount val="1"/>
                <c:pt idx="0">
                  <c:v>PÄ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'Tegevusala+Maakond'!$J$2:$J$30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892-4272-B904-06C233E2AE5A}"/>
            </c:ext>
          </c:extLst>
        </c:ser>
        <c:ser>
          <c:idx val="9"/>
          <c:order val="9"/>
          <c:tx>
            <c:strRef>
              <c:f>'Tegevusala+Maakond'!$K$1</c:f>
              <c:strCache>
                <c:ptCount val="1"/>
                <c:pt idx="0">
                  <c:v>RA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'Tegevusala+Maakond'!$K$2:$K$30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92-4272-B904-06C233E2AE5A}"/>
            </c:ext>
          </c:extLst>
        </c:ser>
        <c:ser>
          <c:idx val="10"/>
          <c:order val="10"/>
          <c:tx>
            <c:strRef>
              <c:f>'Tegevusala+Maakond'!$L$1</c:f>
              <c:strCache>
                <c:ptCount val="1"/>
                <c:pt idx="0">
                  <c:v>SA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'Tegevusala+Maakond'!$L$2:$L$30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92-4272-B904-06C233E2AE5A}"/>
            </c:ext>
          </c:extLst>
        </c:ser>
        <c:ser>
          <c:idx val="11"/>
          <c:order val="11"/>
          <c:tx>
            <c:strRef>
              <c:f>'Tegevusala+Maakond'!$M$1</c:f>
              <c:strCache>
                <c:ptCount val="1"/>
                <c:pt idx="0">
                  <c:v>TA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'Tegevusala+Maakond'!$M$2:$M$30</c:f>
              <c:numCache>
                <c:formatCode>General</c:formatCode>
                <c:ptCount val="2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9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92-4272-B904-06C233E2AE5A}"/>
            </c:ext>
          </c:extLst>
        </c:ser>
        <c:ser>
          <c:idx val="12"/>
          <c:order val="12"/>
          <c:tx>
            <c:strRef>
              <c:f>'Tegevusala+Maakond'!$N$1</c:f>
              <c:strCache>
                <c:ptCount val="1"/>
                <c:pt idx="0">
                  <c:v>VA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'Tegevusala+Maakond'!$N$2:$N$30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892-4272-B904-06C233E2AE5A}"/>
            </c:ext>
          </c:extLst>
        </c:ser>
        <c:ser>
          <c:idx val="13"/>
          <c:order val="13"/>
          <c:tx>
            <c:strRef>
              <c:f>'Tegevusala+Maakond'!$O$1</c:f>
              <c:strCache>
                <c:ptCount val="1"/>
                <c:pt idx="0">
                  <c:v>VD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'Tegevusala+Maakond'!$O$2:$O$30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892-4272-B904-06C233E2AE5A}"/>
            </c:ext>
          </c:extLst>
        </c:ser>
        <c:ser>
          <c:idx val="14"/>
          <c:order val="14"/>
          <c:tx>
            <c:strRef>
              <c:f>'Tegevusala+Maakond'!$P$1</c:f>
              <c:strCache>
                <c:ptCount val="1"/>
                <c:pt idx="0">
                  <c:v>VÕ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'Tegevusala+Maakond'!$P$2:$P$30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892-4272-B904-06C233E2AE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641336"/>
        <c:axId val="386039616"/>
      </c:barChart>
      <c:catAx>
        <c:axId val="3186413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86039616"/>
        <c:crosses val="autoZero"/>
        <c:auto val="1"/>
        <c:lblAlgn val="ctr"/>
        <c:lblOffset val="100"/>
        <c:noMultiLvlLbl val="0"/>
      </c:catAx>
      <c:valAx>
        <c:axId val="3860396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18641336"/>
        <c:crosses val="autoZero"/>
        <c:crossBetween val="between"/>
        <c:majorUnit val="1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88651747052002E-2"/>
          <c:y val="8.2254268778200454E-2"/>
          <c:w val="0.6712734268133117"/>
          <c:h val="0.8390919814798431"/>
        </c:manualLayout>
      </c:layout>
      <c:pieChart>
        <c:varyColors val="1"/>
        <c:ser>
          <c:idx val="0"/>
          <c:order val="0"/>
          <c:dLbls>
            <c:dLbl>
              <c:idx val="1"/>
              <c:layout>
                <c:manualLayout>
                  <c:x val="3.6993119940282535E-4"/>
                  <c:y val="-7.0082573947919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0E-4D30-958F-3DF992037EA9}"/>
                </c:ext>
              </c:extLst>
            </c:dLbl>
            <c:dLbl>
              <c:idx val="4"/>
              <c:layout>
                <c:manualLayout>
                  <c:x val="5.3481246045298643E-2"/>
                  <c:y val="-3.7689993806953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0E-4D30-958F-3DF992037EA9}"/>
                </c:ext>
              </c:extLst>
            </c:dLbl>
            <c:dLbl>
              <c:idx val="5"/>
              <c:layout>
                <c:manualLayout>
                  <c:x val="3.7693818704457531E-2"/>
                  <c:y val="-3.55604706715031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E0E-4D30-958F-3DF992037EA9}"/>
                </c:ext>
              </c:extLst>
            </c:dLbl>
            <c:dLbl>
              <c:idx val="7"/>
              <c:layout>
                <c:manualLayout>
                  <c:x val="6.3940059821272266E-2"/>
                  <c:y val="-9.3535639505735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0E-4D30-958F-3DF992037EA9}"/>
                </c:ext>
              </c:extLst>
            </c:dLbl>
            <c:dLbl>
              <c:idx val="12"/>
              <c:layout>
                <c:manualLayout>
                  <c:x val="3.9366412606349321E-2"/>
                  <c:y val="7.94272906897873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E0E-4D30-958F-3DF992037EA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Maakond!$A$2:$A$16</c:f>
              <c:strCache>
                <c:ptCount val="15"/>
                <c:pt idx="0">
                  <c:v>Harjumaa</c:v>
                </c:pt>
                <c:pt idx="1">
                  <c:v>Hiiumaa</c:v>
                </c:pt>
                <c:pt idx="2">
                  <c:v>Ida-Virumaa</c:v>
                </c:pt>
                <c:pt idx="3">
                  <c:v>Jõgevamaa</c:v>
                </c:pt>
                <c:pt idx="4">
                  <c:v>Järvamaa</c:v>
                </c:pt>
                <c:pt idx="5">
                  <c:v>Läänemaa</c:v>
                </c:pt>
                <c:pt idx="6">
                  <c:v>Lääne-Virumaa</c:v>
                </c:pt>
                <c:pt idx="7">
                  <c:v>Põlvamaa</c:v>
                </c:pt>
                <c:pt idx="8">
                  <c:v>Pärnumaa</c:v>
                </c:pt>
                <c:pt idx="9">
                  <c:v>Raplamaa</c:v>
                </c:pt>
                <c:pt idx="10">
                  <c:v>Saaremaa</c:v>
                </c:pt>
                <c:pt idx="11">
                  <c:v>Tartumaa</c:v>
                </c:pt>
                <c:pt idx="12">
                  <c:v>Valgamaa</c:v>
                </c:pt>
                <c:pt idx="13">
                  <c:v>Viljandimaa</c:v>
                </c:pt>
                <c:pt idx="14">
                  <c:v>Võrumaa</c:v>
                </c:pt>
              </c:strCache>
            </c:strRef>
          </c:cat>
          <c:val>
            <c:numRef>
              <c:f>Maakond!$E$2:$E$16</c:f>
              <c:numCache>
                <c:formatCode>General</c:formatCode>
                <c:ptCount val="15"/>
                <c:pt idx="0">
                  <c:v>97</c:v>
                </c:pt>
                <c:pt idx="1">
                  <c:v>0</c:v>
                </c:pt>
                <c:pt idx="2">
                  <c:v>29</c:v>
                </c:pt>
                <c:pt idx="3">
                  <c:v>4</c:v>
                </c:pt>
                <c:pt idx="4">
                  <c:v>7</c:v>
                </c:pt>
                <c:pt idx="5">
                  <c:v>3</c:v>
                </c:pt>
                <c:pt idx="6">
                  <c:v>20</c:v>
                </c:pt>
                <c:pt idx="7">
                  <c:v>3</c:v>
                </c:pt>
                <c:pt idx="8">
                  <c:v>10</c:v>
                </c:pt>
                <c:pt idx="9">
                  <c:v>7</c:v>
                </c:pt>
                <c:pt idx="10">
                  <c:v>7</c:v>
                </c:pt>
                <c:pt idx="11">
                  <c:v>29</c:v>
                </c:pt>
                <c:pt idx="12">
                  <c:v>5</c:v>
                </c:pt>
                <c:pt idx="13">
                  <c:v>9</c:v>
                </c:pt>
                <c:pt idx="1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E-4D30-958F-3DF992037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4729664754569047"/>
          <c:y val="1.2470162552282187E-2"/>
          <c:w val="0.23472582860577931"/>
          <c:h val="0.97505939788536045"/>
        </c:manualLayout>
      </c:layout>
      <c:overlay val="0"/>
    </c:legend>
    <c:plotVisOnly val="1"/>
    <c:dispBlanksAs val="gap"/>
    <c:showDLblsOverMax val="0"/>
  </c:chart>
  <c:spPr>
    <a:solidFill>
      <a:schemeClr val="bg1">
        <a:lumMod val="95000"/>
      </a:schemeClr>
    </a:solidFill>
  </c:sp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Maakond!$B$1:$D$1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Maakond!$B$17:$D$17</c:f>
              <c:numCache>
                <c:formatCode>General</c:formatCode>
                <c:ptCount val="3"/>
                <c:pt idx="0">
                  <c:v>32</c:v>
                </c:pt>
                <c:pt idx="1">
                  <c:v>33</c:v>
                </c:pt>
                <c:pt idx="2">
                  <c:v>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F3-4BE7-807A-902517CF4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Tegevusala!$B$1</c:f>
              <c:strCache>
                <c:ptCount val="1"/>
                <c:pt idx="0">
                  <c:v>A</c:v>
                </c:pt>
              </c:strCache>
            </c:strRef>
          </c:tx>
          <c:invertIfNegative val="0"/>
          <c:cat>
            <c:strRef>
              <c:f>Tegevusala!$A$2:$A$29</c:f>
              <c:strCache>
                <c:ptCount val="28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Gaas</c:v>
                </c:pt>
                <c:pt idx="7">
                  <c:v>Galvaanika</c:v>
                </c:pt>
                <c:pt idx="8">
                  <c:v>Hulgimüük</c:v>
                </c:pt>
                <c:pt idx="9">
                  <c:v>Jäätmed</c:v>
                </c:pt>
                <c:pt idx="10">
                  <c:v>Katlamaja</c:v>
                </c:pt>
                <c:pt idx="11">
                  <c:v>Kloor</c:v>
                </c:pt>
                <c:pt idx="12">
                  <c:v>Kroom</c:v>
                </c:pt>
                <c:pt idx="13">
                  <c:v>Külmhoone</c:v>
                </c:pt>
                <c:pt idx="14">
                  <c:v>Lõhkematerjal</c:v>
                </c:pt>
                <c:pt idx="15">
                  <c:v>Muldmetallid</c:v>
                </c:pt>
                <c:pt idx="16">
                  <c:v>Paber</c:v>
                </c:pt>
                <c:pt idx="17">
                  <c:v>Poroloon</c:v>
                </c:pt>
                <c:pt idx="18">
                  <c:v>Põlevkiviõli</c:v>
                </c:pt>
                <c:pt idx="19">
                  <c:v>Pärm</c:v>
                </c:pt>
                <c:pt idx="20">
                  <c:v>Pürotehnika</c:v>
                </c:pt>
                <c:pt idx="21">
                  <c:v>Tankla</c:v>
                </c:pt>
                <c:pt idx="22">
                  <c:v>Terminal</c:v>
                </c:pt>
                <c:pt idx="23">
                  <c:v>Vahud</c:v>
                </c:pt>
                <c:pt idx="24">
                  <c:v>Vaigud</c:v>
                </c:pt>
                <c:pt idx="25">
                  <c:v>Vesinikperoksiid</c:v>
                </c:pt>
                <c:pt idx="26">
                  <c:v>Väetised</c:v>
                </c:pt>
                <c:pt idx="27">
                  <c:v>Värvid</c:v>
                </c:pt>
              </c:strCache>
            </c:strRef>
          </c:cat>
          <c:val>
            <c:numRef>
              <c:f>Tegevusala!$B$2:$B$29</c:f>
              <c:numCache>
                <c:formatCode>General</c:formatCode>
                <c:ptCount val="28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3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15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3</c:v>
                </c:pt>
                <c:pt idx="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D9-4EAF-B5F1-200C6501D74C}"/>
            </c:ext>
          </c:extLst>
        </c:ser>
        <c:ser>
          <c:idx val="1"/>
          <c:order val="1"/>
          <c:tx>
            <c:strRef>
              <c:f>Tegevusala!$C$1</c:f>
              <c:strCache>
                <c:ptCount val="1"/>
                <c:pt idx="0">
                  <c:v>B</c:v>
                </c:pt>
              </c:strCache>
            </c:strRef>
          </c:tx>
          <c:invertIfNegative val="0"/>
          <c:cat>
            <c:strRef>
              <c:f>Tegevusala!$A$2:$A$29</c:f>
              <c:strCache>
                <c:ptCount val="28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Gaas</c:v>
                </c:pt>
                <c:pt idx="7">
                  <c:v>Galvaanika</c:v>
                </c:pt>
                <c:pt idx="8">
                  <c:v>Hulgimüük</c:v>
                </c:pt>
                <c:pt idx="9">
                  <c:v>Jäätmed</c:v>
                </c:pt>
                <c:pt idx="10">
                  <c:v>Katlamaja</c:v>
                </c:pt>
                <c:pt idx="11">
                  <c:v>Kloor</c:v>
                </c:pt>
                <c:pt idx="12">
                  <c:v>Kroom</c:v>
                </c:pt>
                <c:pt idx="13">
                  <c:v>Külmhoone</c:v>
                </c:pt>
                <c:pt idx="14">
                  <c:v>Lõhkematerjal</c:v>
                </c:pt>
                <c:pt idx="15">
                  <c:v>Muldmetallid</c:v>
                </c:pt>
                <c:pt idx="16">
                  <c:v>Paber</c:v>
                </c:pt>
                <c:pt idx="17">
                  <c:v>Poroloon</c:v>
                </c:pt>
                <c:pt idx="18">
                  <c:v>Põlevkiviõli</c:v>
                </c:pt>
                <c:pt idx="19">
                  <c:v>Pärm</c:v>
                </c:pt>
                <c:pt idx="20">
                  <c:v>Pürotehnika</c:v>
                </c:pt>
                <c:pt idx="21">
                  <c:v>Tankla</c:v>
                </c:pt>
                <c:pt idx="22">
                  <c:v>Terminal</c:v>
                </c:pt>
                <c:pt idx="23">
                  <c:v>Vahud</c:v>
                </c:pt>
                <c:pt idx="24">
                  <c:v>Vaigud</c:v>
                </c:pt>
                <c:pt idx="25">
                  <c:v>Vesinikperoksiid</c:v>
                </c:pt>
                <c:pt idx="26">
                  <c:v>Väetised</c:v>
                </c:pt>
                <c:pt idx="27">
                  <c:v>Värvid</c:v>
                </c:pt>
              </c:strCache>
            </c:strRef>
          </c:cat>
          <c:val>
            <c:numRef>
              <c:f>Tegevusala!$C$2:$C$29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0</c:v>
                </c:pt>
                <c:pt idx="22">
                  <c:v>8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4</c:v>
                </c:pt>
                <c:pt idx="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D9-4EAF-B5F1-200C6501D74C}"/>
            </c:ext>
          </c:extLst>
        </c:ser>
        <c:ser>
          <c:idx val="2"/>
          <c:order val="2"/>
          <c:tx>
            <c:strRef>
              <c:f>Tegevusala!$D$1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cat>
            <c:strRef>
              <c:f>Tegevusala!$A$2:$A$29</c:f>
              <c:strCache>
                <c:ptCount val="28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Gaas</c:v>
                </c:pt>
                <c:pt idx="7">
                  <c:v>Galvaanika</c:v>
                </c:pt>
                <c:pt idx="8">
                  <c:v>Hulgimüük</c:v>
                </c:pt>
                <c:pt idx="9">
                  <c:v>Jäätmed</c:v>
                </c:pt>
                <c:pt idx="10">
                  <c:v>Katlamaja</c:v>
                </c:pt>
                <c:pt idx="11">
                  <c:v>Kloor</c:v>
                </c:pt>
                <c:pt idx="12">
                  <c:v>Kroom</c:v>
                </c:pt>
                <c:pt idx="13">
                  <c:v>Külmhoone</c:v>
                </c:pt>
                <c:pt idx="14">
                  <c:v>Lõhkematerjal</c:v>
                </c:pt>
                <c:pt idx="15">
                  <c:v>Muldmetallid</c:v>
                </c:pt>
                <c:pt idx="16">
                  <c:v>Paber</c:v>
                </c:pt>
                <c:pt idx="17">
                  <c:v>Poroloon</c:v>
                </c:pt>
                <c:pt idx="18">
                  <c:v>Põlevkiviõli</c:v>
                </c:pt>
                <c:pt idx="19">
                  <c:v>Pärm</c:v>
                </c:pt>
                <c:pt idx="20">
                  <c:v>Pürotehnika</c:v>
                </c:pt>
                <c:pt idx="21">
                  <c:v>Tankla</c:v>
                </c:pt>
                <c:pt idx="22">
                  <c:v>Terminal</c:v>
                </c:pt>
                <c:pt idx="23">
                  <c:v>Vahud</c:v>
                </c:pt>
                <c:pt idx="24">
                  <c:v>Vaigud</c:v>
                </c:pt>
                <c:pt idx="25">
                  <c:v>Vesinikperoksiid</c:v>
                </c:pt>
                <c:pt idx="26">
                  <c:v>Väetised</c:v>
                </c:pt>
                <c:pt idx="27">
                  <c:v>Värvid</c:v>
                </c:pt>
              </c:strCache>
            </c:strRef>
          </c:cat>
          <c:val>
            <c:numRef>
              <c:f>Tegevusala!$D$2:$D$29</c:f>
              <c:numCache>
                <c:formatCode>General</c:formatCode>
                <c:ptCount val="28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53</c:v>
                </c:pt>
                <c:pt idx="7">
                  <c:v>4</c:v>
                </c:pt>
                <c:pt idx="8">
                  <c:v>5</c:v>
                </c:pt>
                <c:pt idx="9">
                  <c:v>2</c:v>
                </c:pt>
                <c:pt idx="10">
                  <c:v>3</c:v>
                </c:pt>
                <c:pt idx="11">
                  <c:v>1</c:v>
                </c:pt>
                <c:pt idx="12">
                  <c:v>0</c:v>
                </c:pt>
                <c:pt idx="13">
                  <c:v>27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5</c:v>
                </c:pt>
                <c:pt idx="21">
                  <c:v>49</c:v>
                </c:pt>
                <c:pt idx="22">
                  <c:v>3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D9-4EAF-B5F1-200C6501D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6902960"/>
        <c:axId val="316901784"/>
      </c:barChart>
      <c:catAx>
        <c:axId val="3169029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6901784"/>
        <c:crosses val="autoZero"/>
        <c:auto val="1"/>
        <c:lblAlgn val="ctr"/>
        <c:lblOffset val="100"/>
        <c:noMultiLvlLbl val="0"/>
      </c:catAx>
      <c:valAx>
        <c:axId val="316901784"/>
        <c:scaling>
          <c:orientation val="minMax"/>
          <c:max val="48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16902960"/>
        <c:crosses val="autoZero"/>
        <c:crossBetween val="between"/>
        <c:majorUnit val="2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47525967536346E-2"/>
          <c:y val="1.7215898879562121E-2"/>
          <c:w val="0.84364343999669844"/>
          <c:h val="0.5383093653031838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Seveso!$B$1</c:f>
              <c:strCache>
                <c:ptCount val="1"/>
                <c:pt idx="0">
                  <c:v>A</c:v>
                </c:pt>
              </c:strCache>
            </c:strRef>
          </c:tx>
          <c:invertIfNegative val="0"/>
          <c:cat>
            <c:strRef>
              <c:f>Seveso!$A$2:$A$18</c:f>
              <c:strCache>
                <c:ptCount val="17"/>
                <c:pt idx="0">
                  <c:v>elektrienergia tootmine, tarnimine ja jaotamine</c:v>
                </c:pt>
                <c:pt idx="1">
                  <c:v>jäätmete ladustamine, käitlemine ja kõrvaldamine</c:v>
                </c:pt>
                <c:pt idx="2">
                  <c:v>keemiatööstuskäitised - ammoniaak</c:v>
                </c:pt>
                <c:pt idx="3">
                  <c:v>keemiatööstuskäitised - tööstusgaasid</c:v>
                </c:pt>
                <c:pt idx="4">
                  <c:v>kütuste ladustamine (sh kütmine, jaemüük jne)</c:v>
                </c:pt>
                <c:pt idx="5">
                  <c:v>ladustamine ja turustamine hulgi- ja jaemüügi puhul (v.a. vedelgaas)</c:v>
                </c:pt>
                <c:pt idx="6">
                  <c:v>lõhkeaine tootmine, hävitamine ja ladustamine</c:v>
                </c:pt>
                <c:pt idx="7">
                  <c:v>metallide töötlemine elektrolüütiliste või keemiliste protsesside abil</c:v>
                </c:pt>
                <c:pt idx="8">
                  <c:v>naftakeemiatööstus/naftatöötlemistehased</c:v>
                </c:pt>
                <c:pt idx="9">
                  <c:v>paberimassi ja paberi tootmine</c:v>
                </c:pt>
                <c:pt idx="10">
                  <c:v>paberimassi ja paberi tootmine</c:v>
                </c:pt>
                <c:pt idx="11">
                  <c:v>pürotehnika toodete tootmine ja ladustamine</c:v>
                </c:pt>
                <c:pt idx="12">
                  <c:v>toiduainete ja jookide tootmine</c:v>
                </c:pt>
                <c:pt idx="13">
                  <c:v>vedelgaasi ladustamine</c:v>
                </c:pt>
                <c:pt idx="14">
                  <c:v>vesi ja reovesi (kogumine, varustamine ja töötlemine</c:v>
                </c:pt>
                <c:pt idx="15">
                  <c:v>väetiste tootmine ja ladustamine</c:v>
                </c:pt>
                <c:pt idx="16">
                  <c:v>üldine kemikaalide tootmine (eespool nimetamata)</c:v>
                </c:pt>
              </c:strCache>
            </c:strRef>
          </c:cat>
          <c:val>
            <c:numRef>
              <c:f>Seveso!$B$2:$B$18</c:f>
              <c:numCache>
                <c:formatCode>General</c:formatCode>
                <c:ptCount val="17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13</c:v>
                </c:pt>
                <c:pt idx="5">
                  <c:v>3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3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E-4840-B69F-E18F0FCF5FDB}"/>
            </c:ext>
          </c:extLst>
        </c:ser>
        <c:ser>
          <c:idx val="1"/>
          <c:order val="1"/>
          <c:tx>
            <c:strRef>
              <c:f>Seveso!$C$1</c:f>
              <c:strCache>
                <c:ptCount val="1"/>
                <c:pt idx="0">
                  <c:v>B</c:v>
                </c:pt>
              </c:strCache>
            </c:strRef>
          </c:tx>
          <c:invertIfNegative val="0"/>
          <c:cat>
            <c:strRef>
              <c:f>Seveso!$A$2:$A$18</c:f>
              <c:strCache>
                <c:ptCount val="17"/>
                <c:pt idx="0">
                  <c:v>elektrienergia tootmine, tarnimine ja jaotamine</c:v>
                </c:pt>
                <c:pt idx="1">
                  <c:v>jäätmete ladustamine, käitlemine ja kõrvaldamine</c:v>
                </c:pt>
                <c:pt idx="2">
                  <c:v>keemiatööstuskäitised - ammoniaak</c:v>
                </c:pt>
                <c:pt idx="3">
                  <c:v>keemiatööstuskäitised - tööstusgaasid</c:v>
                </c:pt>
                <c:pt idx="4">
                  <c:v>kütuste ladustamine (sh kütmine, jaemüük jne)</c:v>
                </c:pt>
                <c:pt idx="5">
                  <c:v>ladustamine ja turustamine hulgi- ja jaemüügi puhul (v.a. vedelgaas)</c:v>
                </c:pt>
                <c:pt idx="6">
                  <c:v>lõhkeaine tootmine, hävitamine ja ladustamine</c:v>
                </c:pt>
                <c:pt idx="7">
                  <c:v>metallide töötlemine elektrolüütiliste või keemiliste protsesside abil</c:v>
                </c:pt>
                <c:pt idx="8">
                  <c:v>naftakeemiatööstus/naftatöötlemistehased</c:v>
                </c:pt>
                <c:pt idx="9">
                  <c:v>paberimassi ja paberi tootmine</c:v>
                </c:pt>
                <c:pt idx="10">
                  <c:v>paberimassi ja paberi tootmine</c:v>
                </c:pt>
                <c:pt idx="11">
                  <c:v>pürotehnika toodete tootmine ja ladustamine</c:v>
                </c:pt>
                <c:pt idx="12">
                  <c:v>toiduainete ja jookide tootmine</c:v>
                </c:pt>
                <c:pt idx="13">
                  <c:v>vedelgaasi ladustamine</c:v>
                </c:pt>
                <c:pt idx="14">
                  <c:v>vesi ja reovesi (kogumine, varustamine ja töötlemine</c:v>
                </c:pt>
                <c:pt idx="15">
                  <c:v>väetiste tootmine ja ladustamine</c:v>
                </c:pt>
                <c:pt idx="16">
                  <c:v>üldine kemikaalide tootmine (eespool nimetamata)</c:v>
                </c:pt>
              </c:strCache>
            </c:strRef>
          </c:cat>
          <c:val>
            <c:numRef>
              <c:f>Seveso!$C$2:$C$18</c:f>
              <c:numCache>
                <c:formatCode>General</c:formatCode>
                <c:ptCount val="17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9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4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5</c:v>
                </c:pt>
                <c:pt idx="1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4E-4840-B69F-E18F0FCF5FDB}"/>
            </c:ext>
          </c:extLst>
        </c:ser>
        <c:ser>
          <c:idx val="2"/>
          <c:order val="2"/>
          <c:tx>
            <c:strRef>
              <c:f>Seveso!$D$1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cat>
            <c:strRef>
              <c:f>Seveso!$A$2:$A$18</c:f>
              <c:strCache>
                <c:ptCount val="17"/>
                <c:pt idx="0">
                  <c:v>elektrienergia tootmine, tarnimine ja jaotamine</c:v>
                </c:pt>
                <c:pt idx="1">
                  <c:v>jäätmete ladustamine, käitlemine ja kõrvaldamine</c:v>
                </c:pt>
                <c:pt idx="2">
                  <c:v>keemiatööstuskäitised - ammoniaak</c:v>
                </c:pt>
                <c:pt idx="3">
                  <c:v>keemiatööstuskäitised - tööstusgaasid</c:v>
                </c:pt>
                <c:pt idx="4">
                  <c:v>kütuste ladustamine (sh kütmine, jaemüük jne)</c:v>
                </c:pt>
                <c:pt idx="5">
                  <c:v>ladustamine ja turustamine hulgi- ja jaemüügi puhul (v.a. vedelgaas)</c:v>
                </c:pt>
                <c:pt idx="6">
                  <c:v>lõhkeaine tootmine, hävitamine ja ladustamine</c:v>
                </c:pt>
                <c:pt idx="7">
                  <c:v>metallide töötlemine elektrolüütiliste või keemiliste protsesside abil</c:v>
                </c:pt>
                <c:pt idx="8">
                  <c:v>naftakeemiatööstus/naftatöötlemistehased</c:v>
                </c:pt>
                <c:pt idx="9">
                  <c:v>paberimassi ja paberi tootmine</c:v>
                </c:pt>
                <c:pt idx="10">
                  <c:v>paberimassi ja paberi tootmine</c:v>
                </c:pt>
                <c:pt idx="11">
                  <c:v>pürotehnika toodete tootmine ja ladustamine</c:v>
                </c:pt>
                <c:pt idx="12">
                  <c:v>toiduainete ja jookide tootmine</c:v>
                </c:pt>
                <c:pt idx="13">
                  <c:v>vedelgaasi ladustamine</c:v>
                </c:pt>
                <c:pt idx="14">
                  <c:v>vesi ja reovesi (kogumine, varustamine ja töötlemine</c:v>
                </c:pt>
                <c:pt idx="15">
                  <c:v>väetiste tootmine ja ladustamine</c:v>
                </c:pt>
                <c:pt idx="16">
                  <c:v>üldine kemikaalide tootmine (eespool nimetamata)</c:v>
                </c:pt>
              </c:strCache>
            </c:strRef>
          </c:cat>
          <c:val>
            <c:numRef>
              <c:f>Seveso!$D$2:$D$18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3</c:v>
                </c:pt>
                <c:pt idx="4">
                  <c:v>56</c:v>
                </c:pt>
                <c:pt idx="5">
                  <c:v>8</c:v>
                </c:pt>
                <c:pt idx="6">
                  <c:v>1</c:v>
                </c:pt>
                <c:pt idx="7">
                  <c:v>4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5</c:v>
                </c:pt>
                <c:pt idx="12">
                  <c:v>28</c:v>
                </c:pt>
                <c:pt idx="13">
                  <c:v>52</c:v>
                </c:pt>
                <c:pt idx="14">
                  <c:v>4</c:v>
                </c:pt>
                <c:pt idx="15">
                  <c:v>1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4E-4840-B69F-E18F0FCF5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7399240"/>
        <c:axId val="317398848"/>
      </c:barChart>
      <c:catAx>
        <c:axId val="317399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7398848"/>
        <c:crosses val="autoZero"/>
        <c:auto val="1"/>
        <c:lblAlgn val="ctr"/>
        <c:lblOffset val="100"/>
        <c:noMultiLvlLbl val="0"/>
      </c:catAx>
      <c:valAx>
        <c:axId val="317398848"/>
        <c:scaling>
          <c:orientation val="minMax"/>
          <c:max val="8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17399240"/>
        <c:crosses val="autoZero"/>
        <c:crossBetween val="between"/>
        <c:majorUnit val="5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Luba!$B$1</c:f>
              <c:strCache>
                <c:ptCount val="1"/>
                <c:pt idx="0">
                  <c:v>A</c:v>
                </c:pt>
              </c:strCache>
            </c:strRef>
          </c:tx>
          <c:invertIfNegative val="0"/>
          <c:cat>
            <c:strRef>
              <c:f>Luba!$A$2:$A$6</c:f>
              <c:strCache>
                <c:ptCount val="5"/>
                <c:pt idx="0">
                  <c:v>LMS</c:v>
                </c:pt>
                <c:pt idx="1">
                  <c:v>THS</c:v>
                </c:pt>
                <c:pt idx="2">
                  <c:v>KemS</c:v>
                </c:pt>
                <c:pt idx="3">
                  <c:v>Taotlus</c:v>
                </c:pt>
                <c:pt idx="4">
                  <c:v>Puudub</c:v>
                </c:pt>
              </c:strCache>
            </c:strRef>
          </c:cat>
          <c:val>
            <c:numRef>
              <c:f>Luba!$B$2:$B$6</c:f>
              <c:numCache>
                <c:formatCode>General</c:formatCode>
                <c:ptCount val="5"/>
                <c:pt idx="0">
                  <c:v>2</c:v>
                </c:pt>
                <c:pt idx="1">
                  <c:v>10</c:v>
                </c:pt>
                <c:pt idx="2">
                  <c:v>19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31-41B4-BF45-9860F8524D74}"/>
            </c:ext>
          </c:extLst>
        </c:ser>
        <c:ser>
          <c:idx val="1"/>
          <c:order val="1"/>
          <c:tx>
            <c:strRef>
              <c:f>Luba!$C$1</c:f>
              <c:strCache>
                <c:ptCount val="1"/>
                <c:pt idx="0">
                  <c:v>B</c:v>
                </c:pt>
              </c:strCache>
            </c:strRef>
          </c:tx>
          <c:invertIfNegative val="0"/>
          <c:cat>
            <c:strRef>
              <c:f>Luba!$A$2:$A$6</c:f>
              <c:strCache>
                <c:ptCount val="5"/>
                <c:pt idx="0">
                  <c:v>LMS</c:v>
                </c:pt>
                <c:pt idx="1">
                  <c:v>THS</c:v>
                </c:pt>
                <c:pt idx="2">
                  <c:v>KemS</c:v>
                </c:pt>
                <c:pt idx="3">
                  <c:v>Taotlus</c:v>
                </c:pt>
                <c:pt idx="4">
                  <c:v>Puudub</c:v>
                </c:pt>
              </c:strCache>
            </c:strRef>
          </c:cat>
          <c:val>
            <c:numRef>
              <c:f>Luba!$C$2:$C$6</c:f>
              <c:numCache>
                <c:formatCode>General</c:formatCode>
                <c:ptCount val="5"/>
                <c:pt idx="0">
                  <c:v>5</c:v>
                </c:pt>
                <c:pt idx="1">
                  <c:v>9</c:v>
                </c:pt>
                <c:pt idx="2">
                  <c:v>18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31-41B4-BF45-9860F8524D74}"/>
            </c:ext>
          </c:extLst>
        </c:ser>
        <c:ser>
          <c:idx val="2"/>
          <c:order val="2"/>
          <c:tx>
            <c:strRef>
              <c:f>Luba!$D$1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cat>
            <c:strRef>
              <c:f>Luba!$A$2:$A$6</c:f>
              <c:strCache>
                <c:ptCount val="5"/>
                <c:pt idx="0">
                  <c:v>LMS</c:v>
                </c:pt>
                <c:pt idx="1">
                  <c:v>THS</c:v>
                </c:pt>
                <c:pt idx="2">
                  <c:v>KemS</c:v>
                </c:pt>
                <c:pt idx="3">
                  <c:v>Taotlus</c:v>
                </c:pt>
                <c:pt idx="4">
                  <c:v>Puudub</c:v>
                </c:pt>
              </c:strCache>
            </c:strRef>
          </c:cat>
          <c:val>
            <c:numRef>
              <c:f>Luba!$D$2:$D$6</c:f>
              <c:numCache>
                <c:formatCode>General</c:formatCode>
                <c:ptCount val="5"/>
                <c:pt idx="0">
                  <c:v>6</c:v>
                </c:pt>
                <c:pt idx="1">
                  <c:v>15</c:v>
                </c:pt>
                <c:pt idx="2">
                  <c:v>134</c:v>
                </c:pt>
                <c:pt idx="3">
                  <c:v>14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31-41B4-BF45-9860F8524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398064"/>
        <c:axId val="317397672"/>
      </c:barChart>
      <c:catAx>
        <c:axId val="317398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7397672"/>
        <c:crosses val="autoZero"/>
        <c:auto val="1"/>
        <c:lblAlgn val="ctr"/>
        <c:lblOffset val="100"/>
        <c:noMultiLvlLbl val="0"/>
      </c:catAx>
      <c:valAx>
        <c:axId val="317397672"/>
        <c:scaling>
          <c:orientation val="minMax"/>
          <c:max val="11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17398064"/>
        <c:crosses val="autoZero"/>
        <c:crossBetween val="between"/>
        <c:majorUnit val="5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0299809603123058E-2"/>
          <c:y val="4.5597919360858531E-2"/>
          <c:w val="0.79812337664355482"/>
          <c:h val="0.92301306611399259"/>
        </c:manualLayout>
      </c:layout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Luba!$A$2:$A$6</c:f>
              <c:strCache>
                <c:ptCount val="5"/>
                <c:pt idx="0">
                  <c:v>LMS</c:v>
                </c:pt>
                <c:pt idx="1">
                  <c:v>THS</c:v>
                </c:pt>
                <c:pt idx="2">
                  <c:v>KemS</c:v>
                </c:pt>
                <c:pt idx="3">
                  <c:v>Taotlus</c:v>
                </c:pt>
                <c:pt idx="4">
                  <c:v>Puudub</c:v>
                </c:pt>
              </c:strCache>
            </c:strRef>
          </c:cat>
          <c:val>
            <c:numRef>
              <c:f>Luba!$E$2:$E$6</c:f>
              <c:numCache>
                <c:formatCode>General</c:formatCode>
                <c:ptCount val="5"/>
                <c:pt idx="0">
                  <c:v>13</c:v>
                </c:pt>
                <c:pt idx="1">
                  <c:v>34</c:v>
                </c:pt>
                <c:pt idx="2">
                  <c:v>171</c:v>
                </c:pt>
                <c:pt idx="3">
                  <c:v>15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7F-48ED-A58B-EC1020E6D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8346821073547176"/>
          <c:y val="1.1439202859749399E-2"/>
          <c:w val="0.15579693900064057"/>
          <c:h val="0.43390217895201044"/>
        </c:manualLayout>
      </c:layout>
      <c:overlay val="0"/>
    </c:legend>
    <c:plotVisOnly val="1"/>
    <c:dispBlanksAs val="gap"/>
    <c:showDLblsOverMax val="0"/>
  </c:chart>
  <c:spPr>
    <a:solidFill>
      <a:schemeClr val="bg1">
        <a:lumMod val="95000"/>
      </a:schemeClr>
    </a:solidFill>
  </c:sp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539654609828706E-2"/>
          <c:y val="8.4331935096044572E-2"/>
          <c:w val="0.86099007491613233"/>
          <c:h val="0.84284884892243039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0.11267952238510126"/>
                  <c:y val="0.19518896118430368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2A-419F-90CC-7BA0DC6B2314}"/>
                </c:ext>
              </c:extLst>
            </c:dLbl>
            <c:dLbl>
              <c:idx val="1"/>
              <c:layout>
                <c:manualLayout>
                  <c:x val="-0.1278929670941594"/>
                  <c:y val="4.3461094036616819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2A-419F-90CC-7BA0DC6B2314}"/>
                </c:ext>
              </c:extLst>
            </c:dLbl>
            <c:dLbl>
              <c:idx val="2"/>
              <c:layout>
                <c:manualLayout>
                  <c:x val="0.22817269424575087"/>
                  <c:y val="-0.23912758305542484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F2A-419F-90CC-7BA0DC6B231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Luba!$B$1:$D$1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Luba!$B$7:$D$7</c:f>
              <c:numCache>
                <c:formatCode>General</c:formatCode>
                <c:ptCount val="3"/>
                <c:pt idx="0">
                  <c:v>32</c:v>
                </c:pt>
                <c:pt idx="1">
                  <c:v>33</c:v>
                </c:pt>
                <c:pt idx="2">
                  <c:v>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2A-419F-90CC-7BA0DC6B23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85722912639543358"/>
          <c:y val="2.9651624957207409E-2"/>
          <c:w val="0.12143753131234911"/>
          <c:h val="0.24985022600279674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b="1"/>
              <a:t>EKTL </a:t>
            </a:r>
            <a:r>
              <a:rPr lang="et-EE" b="1" baseline="0"/>
              <a:t>liikmelisus</a:t>
            </a:r>
            <a:endParaRPr lang="et-EE" b="1"/>
          </a:p>
        </c:rich>
      </c:tx>
      <c:layout>
        <c:manualLayout>
          <c:xMode val="edge"/>
          <c:yMode val="edge"/>
          <c:x val="0.2871448280503398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>
        <c:manualLayout>
          <c:layoutTarget val="inner"/>
          <c:xMode val="edge"/>
          <c:yMode val="edge"/>
          <c:x val="3.8461538461538464E-2"/>
          <c:y val="0.19416630212890054"/>
          <c:w val="0.66329127128339727"/>
          <c:h val="0.7185655438903469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1D2-42EF-BBF3-83ADD3FD9B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1D2-42EF-BBF3-83ADD3FD9BA8}"/>
              </c:ext>
            </c:extLst>
          </c:dPt>
          <c:dLbls>
            <c:dLbl>
              <c:idx val="0"/>
              <c:layout>
                <c:manualLayout>
                  <c:x val="-0.11382259909818965"/>
                  <c:y val="-0.21980497229512985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D2-42EF-BBF3-83ADD3FD9B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t-EE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EKTL!$B$1:$C$1</c:f>
              <c:strCache>
                <c:ptCount val="2"/>
                <c:pt idx="0">
                  <c:v>Ei ole liidus</c:v>
                </c:pt>
                <c:pt idx="1">
                  <c:v>EKTL</c:v>
                </c:pt>
              </c:strCache>
            </c:strRef>
          </c:cat>
          <c:val>
            <c:numRef>
              <c:f>EKTL!$B$5:$C$5</c:f>
              <c:numCache>
                <c:formatCode>General</c:formatCode>
                <c:ptCount val="2"/>
                <c:pt idx="0">
                  <c:v>218</c:v>
                </c:pt>
                <c:pt idx="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1D2-42EF-BBF3-83ADD3FD9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66676</xdr:colOff>
      <xdr:row>17</xdr:row>
      <xdr:rowOff>76200</xdr:rowOff>
    </xdr:from>
    <xdr:to>
      <xdr:col>10</xdr:col>
      <xdr:colOff>542925</xdr:colOff>
      <xdr:row>49</xdr:row>
      <xdr:rowOff>123825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933448</xdr:colOff>
      <xdr:row>17</xdr:row>
      <xdr:rowOff>114299</xdr:rowOff>
    </xdr:from>
    <xdr:to>
      <xdr:col>10</xdr:col>
      <xdr:colOff>47625</xdr:colOff>
      <xdr:row>35</xdr:row>
      <xdr:rowOff>152400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66675</xdr:colOff>
      <xdr:row>0</xdr:row>
      <xdr:rowOff>71436</xdr:rowOff>
    </xdr:from>
    <xdr:to>
      <xdr:col>10</xdr:col>
      <xdr:colOff>552450</xdr:colOff>
      <xdr:row>16</xdr:row>
      <xdr:rowOff>152399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38101</xdr:colOff>
      <xdr:row>0</xdr:row>
      <xdr:rowOff>52386</xdr:rowOff>
    </xdr:from>
    <xdr:to>
      <xdr:col>14</xdr:col>
      <xdr:colOff>704850</xdr:colOff>
      <xdr:row>32</xdr:row>
      <xdr:rowOff>123825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38102</xdr:colOff>
      <xdr:row>0</xdr:row>
      <xdr:rowOff>52385</xdr:rowOff>
    </xdr:from>
    <xdr:to>
      <xdr:col>12</xdr:col>
      <xdr:colOff>180976</xdr:colOff>
      <xdr:row>37</xdr:row>
      <xdr:rowOff>180975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19052</xdr:colOff>
      <xdr:row>0</xdr:row>
      <xdr:rowOff>47625</xdr:rowOff>
    </xdr:from>
    <xdr:to>
      <xdr:col>14</xdr:col>
      <xdr:colOff>571500</xdr:colOff>
      <xdr:row>32</xdr:row>
      <xdr:rowOff>152400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28574</xdr:colOff>
      <xdr:row>12</xdr:row>
      <xdr:rowOff>76199</xdr:rowOff>
    </xdr:from>
    <xdr:to>
      <xdr:col>8</xdr:col>
      <xdr:colOff>590550</xdr:colOff>
      <xdr:row>32</xdr:row>
      <xdr:rowOff>161925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38101</xdr:colOff>
      <xdr:row>0</xdr:row>
      <xdr:rowOff>42862</xdr:rowOff>
    </xdr:from>
    <xdr:to>
      <xdr:col>8</xdr:col>
      <xdr:colOff>590550</xdr:colOff>
      <xdr:row>12</xdr:row>
      <xdr:rowOff>38100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5</xdr:row>
      <xdr:rowOff>66675</xdr:rowOff>
    </xdr:from>
    <xdr:to>
      <xdr:col>4</xdr:col>
      <xdr:colOff>352425</xdr:colOff>
      <xdr:row>19</xdr:row>
      <xdr:rowOff>142875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471487</xdr:colOff>
      <xdr:row>0</xdr:row>
      <xdr:rowOff>180975</xdr:rowOff>
    </xdr:from>
    <xdr:to>
      <xdr:col>10</xdr:col>
      <xdr:colOff>19050</xdr:colOff>
      <xdr:row>19</xdr:row>
      <xdr:rowOff>142875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38</xdr:row>
      <xdr:rowOff>80962</xdr:rowOff>
    </xdr:from>
    <xdr:to>
      <xdr:col>16</xdr:col>
      <xdr:colOff>409575</xdr:colOff>
      <xdr:row>70</xdr:row>
      <xdr:rowOff>114300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emg@emg.blrt.e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K251"/>
  <sheetViews>
    <sheetView tabSelected="1" zoomScale="90" zoomScaleNormal="90" workbookViewId="0">
      <pane xSplit="1" topLeftCell="AB1" activePane="topRight" state="frozen"/>
      <selection pane="topRight" activeCell="AK1" sqref="AK1"/>
    </sheetView>
  </sheetViews>
  <sheetFormatPr defaultRowHeight="12.75" outlineLevelCol="1" x14ac:dyDescent="0.2"/>
  <cols>
    <col min="1" max="1" width="53.5703125" style="101" customWidth="1"/>
    <col min="2" max="2" width="52.85546875" style="35" customWidth="1" outlineLevel="1"/>
    <col min="3" max="3" width="4.7109375" style="2" customWidth="1" outlineLevel="1"/>
    <col min="4" max="4" width="4.5703125" style="148" customWidth="1" outlineLevel="1"/>
    <col min="5" max="5" width="19.28515625" style="148" customWidth="1" outlineLevel="1"/>
    <col min="6" max="6" width="62.5703125" style="148" customWidth="1" outlineLevel="1"/>
    <col min="7" max="7" width="14.7109375" style="28" customWidth="1" outlineLevel="1"/>
    <col min="8" max="8" width="11.85546875" style="1" customWidth="1" outlineLevel="1"/>
    <col min="9" max="9" width="15.7109375" style="1" customWidth="1" outlineLevel="1"/>
    <col min="10" max="10" width="12.85546875" style="1" customWidth="1" outlineLevel="1"/>
    <col min="11" max="11" width="24.28515625" style="1" customWidth="1" outlineLevel="1"/>
    <col min="12" max="13" width="8.7109375" style="2" customWidth="1" outlineLevel="1"/>
    <col min="14" max="24" width="11.7109375" style="2" customWidth="1"/>
    <col min="25" max="25" width="22.140625" style="2" customWidth="1"/>
    <col min="26" max="26" width="11.7109375" style="2" customWidth="1"/>
    <col min="27" max="27" width="32.28515625" style="101" customWidth="1"/>
    <col min="28" max="28" width="11.140625" style="332" bestFit="1" customWidth="1"/>
    <col min="29" max="29" width="11.7109375" style="332" bestFit="1" customWidth="1"/>
    <col min="30" max="30" width="10.140625" style="157" customWidth="1"/>
    <col min="31" max="31" width="9.140625" style="157" customWidth="1"/>
    <col min="32" max="32" width="10.5703125" style="157" bestFit="1" customWidth="1" collapsed="1"/>
    <col min="33" max="33" width="9.140625" style="157" customWidth="1" collapsed="1"/>
    <col min="34" max="36" width="9.140625" style="157" customWidth="1"/>
    <col min="37" max="37" width="9.140625" style="1" customWidth="1"/>
    <col min="38" max="16384" width="9.140625" style="1"/>
  </cols>
  <sheetData>
    <row r="1" spans="1:37" ht="15.75" x14ac:dyDescent="0.25">
      <c r="AG1" s="340"/>
      <c r="AH1" s="340"/>
      <c r="AI1" s="340"/>
      <c r="AJ1" s="340"/>
      <c r="AK1" s="341" t="s">
        <v>1449</v>
      </c>
    </row>
    <row r="2" spans="1:37" ht="15.75" x14ac:dyDescent="0.2">
      <c r="AG2" s="340"/>
      <c r="AH2" s="340"/>
      <c r="AI2" s="340"/>
      <c r="AJ2" s="340"/>
      <c r="AK2" s="339" t="s">
        <v>1446</v>
      </c>
    </row>
    <row r="3" spans="1:37" ht="15.75" x14ac:dyDescent="0.2">
      <c r="AG3" s="340"/>
      <c r="AH3" s="340"/>
      <c r="AI3" s="340"/>
      <c r="AJ3" s="340"/>
      <c r="AK3" s="339" t="s">
        <v>1447</v>
      </c>
    </row>
    <row r="4" spans="1:37" ht="15.75" x14ac:dyDescent="0.2">
      <c r="AG4" s="340"/>
      <c r="AH4" s="340"/>
      <c r="AI4" s="340"/>
      <c r="AJ4" s="340"/>
      <c r="AK4" s="339" t="s">
        <v>1448</v>
      </c>
    </row>
    <row r="5" spans="1:37" ht="31.5" x14ac:dyDescent="0.25">
      <c r="A5" s="338" t="s">
        <v>1445</v>
      </c>
    </row>
    <row r="7" spans="1:37" x14ac:dyDescent="0.2">
      <c r="A7" s="305" t="s">
        <v>50</v>
      </c>
      <c r="B7" s="33" t="s">
        <v>557</v>
      </c>
      <c r="C7" s="5" t="s">
        <v>115</v>
      </c>
      <c r="D7" s="33" t="s">
        <v>976</v>
      </c>
      <c r="E7" s="33" t="s">
        <v>181</v>
      </c>
      <c r="F7" s="33" t="s">
        <v>950</v>
      </c>
      <c r="G7" s="5" t="s">
        <v>51</v>
      </c>
      <c r="H7" s="5" t="s">
        <v>52</v>
      </c>
      <c r="I7" s="5" t="s">
        <v>53</v>
      </c>
      <c r="J7" s="5" t="s">
        <v>54</v>
      </c>
      <c r="K7" s="5" t="s">
        <v>55</v>
      </c>
      <c r="L7" s="5" t="s">
        <v>490</v>
      </c>
      <c r="M7" s="5" t="s">
        <v>992</v>
      </c>
      <c r="N7" s="5" t="s">
        <v>117</v>
      </c>
      <c r="O7" s="5" t="s">
        <v>116</v>
      </c>
      <c r="P7" s="5" t="s">
        <v>118</v>
      </c>
      <c r="Q7" s="5" t="s">
        <v>119</v>
      </c>
      <c r="R7" s="5" t="s">
        <v>120</v>
      </c>
      <c r="S7" s="5" t="s">
        <v>121</v>
      </c>
      <c r="T7" s="5" t="s">
        <v>122</v>
      </c>
      <c r="U7" s="5" t="s">
        <v>123</v>
      </c>
      <c r="V7" s="5" t="s">
        <v>124</v>
      </c>
      <c r="W7" s="5" t="s">
        <v>125</v>
      </c>
      <c r="X7" s="5" t="s">
        <v>59</v>
      </c>
      <c r="Y7" s="5" t="s">
        <v>986</v>
      </c>
      <c r="Z7" s="5" t="s">
        <v>60</v>
      </c>
      <c r="AA7" s="33" t="s">
        <v>474</v>
      </c>
      <c r="AB7" s="106" t="s">
        <v>616</v>
      </c>
      <c r="AC7" s="106" t="s">
        <v>1061</v>
      </c>
      <c r="AD7" s="159">
        <v>2015</v>
      </c>
      <c r="AE7" s="159" t="s">
        <v>993</v>
      </c>
      <c r="AF7" s="159" t="s">
        <v>994</v>
      </c>
      <c r="AG7" s="159" t="s">
        <v>995</v>
      </c>
      <c r="AH7" s="159" t="s">
        <v>996</v>
      </c>
      <c r="AI7" s="159" t="s">
        <v>997</v>
      </c>
      <c r="AJ7" s="159" t="s">
        <v>1261</v>
      </c>
      <c r="AK7" s="265">
        <v>2022</v>
      </c>
    </row>
    <row r="8" spans="1:37" s="28" customFormat="1" x14ac:dyDescent="0.2">
      <c r="A8" s="37" t="s">
        <v>1253</v>
      </c>
      <c r="B8" s="10"/>
      <c r="C8" s="7" t="s">
        <v>112</v>
      </c>
      <c r="D8" s="10"/>
      <c r="E8" s="10" t="s">
        <v>183</v>
      </c>
      <c r="F8" s="10" t="s">
        <v>972</v>
      </c>
      <c r="G8" s="7" t="s">
        <v>107</v>
      </c>
      <c r="H8" s="7" t="s">
        <v>108</v>
      </c>
      <c r="I8" s="312"/>
      <c r="J8" s="7"/>
      <c r="K8" s="7" t="s">
        <v>109</v>
      </c>
      <c r="L8" s="93">
        <v>830</v>
      </c>
      <c r="M8" s="93"/>
      <c r="N8" s="22" t="s">
        <v>955</v>
      </c>
      <c r="O8" s="23">
        <v>42703</v>
      </c>
      <c r="P8" s="22" t="s">
        <v>955</v>
      </c>
      <c r="Q8" s="21">
        <v>42934</v>
      </c>
      <c r="R8" s="150" t="s">
        <v>505</v>
      </c>
      <c r="S8" s="151">
        <v>41402</v>
      </c>
      <c r="T8" s="20" t="s">
        <v>955</v>
      </c>
      <c r="U8" s="21">
        <v>42291</v>
      </c>
      <c r="V8" s="7"/>
      <c r="W8" s="7"/>
      <c r="X8" s="89" t="s">
        <v>989</v>
      </c>
      <c r="Y8" s="89" t="s">
        <v>46</v>
      </c>
      <c r="Z8" s="90">
        <v>40871</v>
      </c>
      <c r="AA8" s="19" t="s">
        <v>567</v>
      </c>
      <c r="AB8" s="318">
        <v>42229</v>
      </c>
      <c r="AC8" s="318">
        <v>42640</v>
      </c>
      <c r="AD8" s="158" t="s">
        <v>1060</v>
      </c>
      <c r="AE8" s="173" t="s">
        <v>1061</v>
      </c>
      <c r="AF8" s="158"/>
      <c r="AG8" s="158" t="s">
        <v>998</v>
      </c>
      <c r="AH8" s="158" t="s">
        <v>1061</v>
      </c>
      <c r="AI8" s="158"/>
      <c r="AJ8" s="158" t="s">
        <v>998</v>
      </c>
      <c r="AK8" s="279" t="s">
        <v>1061</v>
      </c>
    </row>
    <row r="9" spans="1:37" s="28" customFormat="1" x14ac:dyDescent="0.2">
      <c r="A9" s="306" t="s">
        <v>248</v>
      </c>
      <c r="B9" s="313"/>
      <c r="C9" s="8" t="s">
        <v>113</v>
      </c>
      <c r="D9" s="8"/>
      <c r="E9" s="8" t="s">
        <v>188</v>
      </c>
      <c r="F9" s="8" t="s">
        <v>969</v>
      </c>
      <c r="G9" s="7" t="s">
        <v>66</v>
      </c>
      <c r="H9" s="8" t="s">
        <v>67</v>
      </c>
      <c r="I9" s="7"/>
      <c r="J9" s="7"/>
      <c r="K9" s="10" t="s">
        <v>249</v>
      </c>
      <c r="L9" s="93">
        <v>465</v>
      </c>
      <c r="M9" s="93"/>
      <c r="N9" s="20" t="s">
        <v>941</v>
      </c>
      <c r="O9" s="21">
        <v>42733</v>
      </c>
      <c r="P9" s="20" t="s">
        <v>512</v>
      </c>
      <c r="Q9" s="21">
        <v>41431</v>
      </c>
      <c r="R9" s="20" t="s">
        <v>941</v>
      </c>
      <c r="S9" s="21">
        <v>42996</v>
      </c>
      <c r="T9" s="7"/>
      <c r="U9" s="7"/>
      <c r="V9" s="7"/>
      <c r="W9" s="7"/>
      <c r="X9" s="89" t="s">
        <v>989</v>
      </c>
      <c r="Y9" s="89" t="s">
        <v>640</v>
      </c>
      <c r="Z9" s="90">
        <v>41722</v>
      </c>
      <c r="AA9" s="19" t="s">
        <v>568</v>
      </c>
      <c r="AB9" s="318">
        <v>41403</v>
      </c>
      <c r="AC9" s="318">
        <v>42654</v>
      </c>
      <c r="AD9" s="158"/>
      <c r="AE9" s="173" t="s">
        <v>1061</v>
      </c>
      <c r="AF9" s="158"/>
      <c r="AG9" s="158" t="s">
        <v>998</v>
      </c>
      <c r="AH9" s="158"/>
      <c r="AI9" s="158"/>
      <c r="AJ9" s="158" t="s">
        <v>1061</v>
      </c>
      <c r="AK9" s="279"/>
    </row>
    <row r="10" spans="1:37" s="28" customFormat="1" x14ac:dyDescent="0.2">
      <c r="A10" s="306" t="s">
        <v>1390</v>
      </c>
      <c r="B10" s="313"/>
      <c r="C10" s="8" t="s">
        <v>113</v>
      </c>
      <c r="D10" s="8"/>
      <c r="E10" s="8" t="s">
        <v>1386</v>
      </c>
      <c r="F10" s="8" t="s">
        <v>967</v>
      </c>
      <c r="G10" s="7" t="s">
        <v>75</v>
      </c>
      <c r="H10" s="8"/>
      <c r="I10" s="7" t="s">
        <v>740</v>
      </c>
      <c r="J10" s="7" t="s">
        <v>1387</v>
      </c>
      <c r="K10" s="10" t="s">
        <v>1388</v>
      </c>
      <c r="L10" s="93"/>
      <c r="M10" s="93"/>
      <c r="N10" s="20" t="s">
        <v>941</v>
      </c>
      <c r="O10" s="21">
        <v>42998</v>
      </c>
      <c r="P10" s="31" t="s">
        <v>941</v>
      </c>
      <c r="Q10" s="32">
        <v>42979</v>
      </c>
      <c r="R10" s="31" t="s">
        <v>941</v>
      </c>
      <c r="S10" s="32">
        <v>42979</v>
      </c>
      <c r="T10" s="7"/>
      <c r="U10" s="7"/>
      <c r="V10" s="7"/>
      <c r="W10" s="7"/>
      <c r="X10" s="142" t="s">
        <v>991</v>
      </c>
      <c r="Y10" s="142" t="s">
        <v>463</v>
      </c>
      <c r="Z10" s="91">
        <v>42979</v>
      </c>
      <c r="AA10" s="19" t="s">
        <v>1389</v>
      </c>
      <c r="AB10" s="318">
        <v>42961</v>
      </c>
      <c r="AC10" s="318"/>
      <c r="AD10" s="158"/>
      <c r="AE10" s="173"/>
      <c r="AF10" s="244" t="s">
        <v>998</v>
      </c>
      <c r="AG10" s="158" t="s">
        <v>1061</v>
      </c>
      <c r="AH10" s="158"/>
      <c r="AI10" s="158"/>
      <c r="AJ10" s="158"/>
      <c r="AK10" s="279"/>
    </row>
    <row r="11" spans="1:37" s="28" customFormat="1" x14ac:dyDescent="0.2">
      <c r="A11" s="306" t="s">
        <v>1391</v>
      </c>
      <c r="B11" s="313"/>
      <c r="C11" s="8" t="s">
        <v>113</v>
      </c>
      <c r="D11" s="8"/>
      <c r="E11" s="8" t="s">
        <v>188</v>
      </c>
      <c r="F11" s="8" t="s">
        <v>967</v>
      </c>
      <c r="G11" s="7" t="s">
        <v>69</v>
      </c>
      <c r="H11" s="8"/>
      <c r="I11" s="7" t="s">
        <v>1392</v>
      </c>
      <c r="J11" s="7" t="s">
        <v>1392</v>
      </c>
      <c r="K11" s="10" t="s">
        <v>1393</v>
      </c>
      <c r="L11" s="93"/>
      <c r="M11" s="93"/>
      <c r="N11" s="20" t="s">
        <v>941</v>
      </c>
      <c r="O11" s="21">
        <v>42998</v>
      </c>
      <c r="P11" s="31" t="s">
        <v>941</v>
      </c>
      <c r="Q11" s="32">
        <v>42989</v>
      </c>
      <c r="R11" s="31" t="s">
        <v>941</v>
      </c>
      <c r="S11" s="32">
        <v>75860</v>
      </c>
      <c r="T11" s="7"/>
      <c r="U11" s="7"/>
      <c r="V11" s="7"/>
      <c r="W11" s="7"/>
      <c r="X11" s="142" t="s">
        <v>991</v>
      </c>
      <c r="Y11" s="142" t="s">
        <v>463</v>
      </c>
      <c r="Z11" s="91">
        <v>42989</v>
      </c>
      <c r="AA11" s="19"/>
      <c r="AB11" s="318"/>
      <c r="AC11" s="318"/>
      <c r="AD11" s="158"/>
      <c r="AE11" s="173"/>
      <c r="AF11" s="158"/>
      <c r="AG11" s="158" t="s">
        <v>1061</v>
      </c>
      <c r="AH11" s="158"/>
      <c r="AI11" s="158"/>
      <c r="AJ11" s="158"/>
      <c r="AK11" s="279"/>
    </row>
    <row r="12" spans="1:37" s="28" customFormat="1" x14ac:dyDescent="0.2">
      <c r="A12" s="306" t="s">
        <v>939</v>
      </c>
      <c r="B12" s="313"/>
      <c r="C12" s="8" t="s">
        <v>113</v>
      </c>
      <c r="D12" s="8"/>
      <c r="E12" s="8" t="s">
        <v>188</v>
      </c>
      <c r="F12" s="8" t="s">
        <v>967</v>
      </c>
      <c r="G12" s="7" t="s">
        <v>316</v>
      </c>
      <c r="H12" s="8" t="s">
        <v>559</v>
      </c>
      <c r="I12" s="7"/>
      <c r="J12" s="7"/>
      <c r="K12" s="10" t="s">
        <v>940</v>
      </c>
      <c r="L12" s="93">
        <v>399</v>
      </c>
      <c r="M12" s="93"/>
      <c r="N12" s="20" t="s">
        <v>941</v>
      </c>
      <c r="O12" s="21">
        <v>42258</v>
      </c>
      <c r="P12" s="20" t="s">
        <v>941</v>
      </c>
      <c r="Q12" s="21">
        <v>42506</v>
      </c>
      <c r="R12" s="20" t="s">
        <v>941</v>
      </c>
      <c r="S12" s="21">
        <v>42789</v>
      </c>
      <c r="T12" s="10"/>
      <c r="U12" s="10"/>
      <c r="V12" s="10"/>
      <c r="W12" s="10"/>
      <c r="X12" s="89" t="s">
        <v>989</v>
      </c>
      <c r="Y12" s="89" t="s">
        <v>1322</v>
      </c>
      <c r="Z12" s="90">
        <v>42796</v>
      </c>
      <c r="AA12" s="19" t="s">
        <v>568</v>
      </c>
      <c r="AB12" s="318">
        <v>42256</v>
      </c>
      <c r="AC12" s="318">
        <v>42837</v>
      </c>
      <c r="AD12" s="158" t="s">
        <v>998</v>
      </c>
      <c r="AE12" s="158"/>
      <c r="AF12" s="158" t="s">
        <v>1061</v>
      </c>
      <c r="AG12" s="158"/>
      <c r="AH12" s="158"/>
      <c r="AI12" s="158" t="s">
        <v>998</v>
      </c>
      <c r="AJ12" s="158"/>
      <c r="AK12" s="279" t="s">
        <v>1061</v>
      </c>
    </row>
    <row r="13" spans="1:37" s="28" customFormat="1" x14ac:dyDescent="0.2">
      <c r="A13" s="306" t="s">
        <v>1434</v>
      </c>
      <c r="B13" s="313"/>
      <c r="C13" s="8" t="s">
        <v>113</v>
      </c>
      <c r="D13" s="8"/>
      <c r="E13" s="8" t="s">
        <v>1386</v>
      </c>
      <c r="F13" s="8" t="s">
        <v>967</v>
      </c>
      <c r="G13" s="7" t="s">
        <v>72</v>
      </c>
      <c r="H13" s="8"/>
      <c r="I13" s="7" t="s">
        <v>1435</v>
      </c>
      <c r="J13" s="7" t="s">
        <v>1436</v>
      </c>
      <c r="K13" s="10" t="s">
        <v>1437</v>
      </c>
      <c r="L13" s="93"/>
      <c r="M13" s="93"/>
      <c r="N13" s="20" t="s">
        <v>941</v>
      </c>
      <c r="O13" s="21">
        <v>43021</v>
      </c>
      <c r="P13" s="31" t="s">
        <v>941</v>
      </c>
      <c r="Q13" s="32">
        <v>43010</v>
      </c>
      <c r="R13" s="31" t="s">
        <v>941</v>
      </c>
      <c r="S13" s="32">
        <v>43010</v>
      </c>
      <c r="T13" s="10"/>
      <c r="U13" s="10"/>
      <c r="V13" s="10"/>
      <c r="W13" s="10"/>
      <c r="X13" s="142" t="s">
        <v>991</v>
      </c>
      <c r="Y13" s="142" t="s">
        <v>463</v>
      </c>
      <c r="Z13" s="91">
        <v>43010</v>
      </c>
      <c r="AA13" s="19"/>
      <c r="AB13" s="318"/>
      <c r="AC13" s="318"/>
      <c r="AD13" s="158"/>
      <c r="AE13" s="158"/>
      <c r="AF13" s="158"/>
      <c r="AG13" s="158" t="s">
        <v>1061</v>
      </c>
      <c r="AH13" s="158"/>
      <c r="AI13" s="158"/>
      <c r="AJ13" s="158"/>
      <c r="AK13" s="279"/>
    </row>
    <row r="14" spans="1:37" x14ac:dyDescent="0.2">
      <c r="A14" s="306" t="s">
        <v>281</v>
      </c>
      <c r="B14" s="313"/>
      <c r="C14" s="8" t="s">
        <v>113</v>
      </c>
      <c r="D14" s="8" t="s">
        <v>977</v>
      </c>
      <c r="E14" s="8" t="s">
        <v>282</v>
      </c>
      <c r="F14" s="8" t="s">
        <v>963</v>
      </c>
      <c r="G14" s="10" t="s">
        <v>283</v>
      </c>
      <c r="H14" s="8" t="s">
        <v>284</v>
      </c>
      <c r="I14" s="10"/>
      <c r="J14" s="10"/>
      <c r="K14" s="10" t="s">
        <v>285</v>
      </c>
      <c r="L14" s="93">
        <v>200</v>
      </c>
      <c r="M14" s="93"/>
      <c r="N14" s="20" t="s">
        <v>1276</v>
      </c>
      <c r="O14" s="21">
        <v>42733</v>
      </c>
      <c r="P14" s="31" t="s">
        <v>1208</v>
      </c>
      <c r="Q14" s="32">
        <v>42991</v>
      </c>
      <c r="R14" s="20" t="s">
        <v>1276</v>
      </c>
      <c r="S14" s="21">
        <v>42711</v>
      </c>
      <c r="T14" s="10"/>
      <c r="U14" s="10"/>
      <c r="V14" s="10"/>
      <c r="W14" s="10"/>
      <c r="X14" s="130" t="s">
        <v>987</v>
      </c>
      <c r="Y14" s="130" t="s">
        <v>286</v>
      </c>
      <c r="Z14" s="131">
        <v>37939</v>
      </c>
      <c r="AA14" s="19" t="s">
        <v>1280</v>
      </c>
      <c r="AB14" s="319">
        <v>42082</v>
      </c>
      <c r="AC14" s="320">
        <v>42880</v>
      </c>
      <c r="AD14" s="158" t="s">
        <v>998</v>
      </c>
      <c r="AE14" s="174" t="s">
        <v>1061</v>
      </c>
      <c r="AF14" s="158" t="s">
        <v>1061</v>
      </c>
      <c r="AG14" s="158"/>
      <c r="AH14" s="158"/>
      <c r="AI14" s="158" t="s">
        <v>1060</v>
      </c>
      <c r="AJ14" s="158"/>
      <c r="AK14" s="279"/>
    </row>
    <row r="15" spans="1:37" x14ac:dyDescent="0.2">
      <c r="A15" s="37" t="s">
        <v>1440</v>
      </c>
      <c r="B15" s="10"/>
      <c r="C15" s="7" t="s">
        <v>114</v>
      </c>
      <c r="D15" s="10"/>
      <c r="E15" s="10" t="s">
        <v>188</v>
      </c>
      <c r="F15" s="10" t="s">
        <v>967</v>
      </c>
      <c r="G15" s="7" t="s">
        <v>69</v>
      </c>
      <c r="H15" s="7"/>
      <c r="I15" s="312" t="s">
        <v>90</v>
      </c>
      <c r="J15" s="7" t="s">
        <v>91</v>
      </c>
      <c r="K15" s="7" t="s">
        <v>394</v>
      </c>
      <c r="L15" s="93">
        <v>639</v>
      </c>
      <c r="M15" s="93"/>
      <c r="N15" s="30" t="s">
        <v>1163</v>
      </c>
      <c r="O15" s="21">
        <v>42517</v>
      </c>
      <c r="P15" s="30" t="s">
        <v>670</v>
      </c>
      <c r="Q15" s="21">
        <v>42123</v>
      </c>
      <c r="R15" s="20" t="s">
        <v>670</v>
      </c>
      <c r="S15" s="21">
        <v>42212</v>
      </c>
      <c r="T15" s="149"/>
      <c r="U15" s="38"/>
      <c r="V15" s="30" t="s">
        <v>670</v>
      </c>
      <c r="W15" s="21">
        <v>42123</v>
      </c>
      <c r="X15" s="89" t="s">
        <v>989</v>
      </c>
      <c r="Y15" s="89" t="s">
        <v>19</v>
      </c>
      <c r="Z15" s="90">
        <v>40875</v>
      </c>
      <c r="AA15" s="38" t="s">
        <v>1156</v>
      </c>
      <c r="AB15" s="318">
        <v>42605</v>
      </c>
      <c r="AC15" s="318">
        <v>42895</v>
      </c>
      <c r="AD15" s="158" t="s">
        <v>1061</v>
      </c>
      <c r="AE15" s="158" t="s">
        <v>998</v>
      </c>
      <c r="AF15" s="158" t="s">
        <v>1061</v>
      </c>
      <c r="AG15" s="158" t="s">
        <v>998</v>
      </c>
      <c r="AH15" s="158" t="s">
        <v>1061</v>
      </c>
      <c r="AI15" s="158" t="s">
        <v>998</v>
      </c>
      <c r="AJ15" s="158" t="s">
        <v>1061</v>
      </c>
      <c r="AK15" s="279" t="s">
        <v>998</v>
      </c>
    </row>
    <row r="16" spans="1:37" s="35" customFormat="1" x14ac:dyDescent="0.2">
      <c r="A16" s="37" t="s">
        <v>1155</v>
      </c>
      <c r="B16" s="10"/>
      <c r="C16" s="7" t="s">
        <v>113</v>
      </c>
      <c r="D16" s="10"/>
      <c r="E16" s="10" t="s">
        <v>188</v>
      </c>
      <c r="F16" s="10" t="s">
        <v>967</v>
      </c>
      <c r="G16" s="7" t="s">
        <v>69</v>
      </c>
      <c r="H16" s="7"/>
      <c r="I16" s="312" t="s">
        <v>295</v>
      </c>
      <c r="J16" s="7" t="s">
        <v>742</v>
      </c>
      <c r="K16" s="7" t="s">
        <v>743</v>
      </c>
      <c r="L16" s="93">
        <v>392</v>
      </c>
      <c r="M16" s="93"/>
      <c r="N16" s="20" t="s">
        <v>728</v>
      </c>
      <c r="O16" s="21">
        <v>42510</v>
      </c>
      <c r="P16" s="20" t="s">
        <v>728</v>
      </c>
      <c r="Q16" s="21">
        <v>42118</v>
      </c>
      <c r="R16" s="20" t="s">
        <v>728</v>
      </c>
      <c r="S16" s="21">
        <v>42488</v>
      </c>
      <c r="T16" s="10"/>
      <c r="U16" s="10"/>
      <c r="V16" s="10"/>
      <c r="W16" s="10"/>
      <c r="X16" s="89" t="s">
        <v>989</v>
      </c>
      <c r="Y16" s="100" t="s">
        <v>1158</v>
      </c>
      <c r="Z16" s="90">
        <v>42514</v>
      </c>
      <c r="AA16" s="38" t="s">
        <v>1156</v>
      </c>
      <c r="AB16" s="319"/>
      <c r="AC16" s="319">
        <v>42300</v>
      </c>
      <c r="AD16" s="158" t="s">
        <v>1061</v>
      </c>
      <c r="AE16" s="158"/>
      <c r="AF16" s="158"/>
      <c r="AG16" s="158"/>
      <c r="AH16" s="158"/>
      <c r="AI16" s="158" t="s">
        <v>1061</v>
      </c>
      <c r="AJ16" s="158"/>
      <c r="AK16" s="279"/>
    </row>
    <row r="17" spans="1:37" s="35" customFormat="1" x14ac:dyDescent="0.2">
      <c r="A17" s="37" t="s">
        <v>1159</v>
      </c>
      <c r="B17" s="10"/>
      <c r="C17" s="10" t="s">
        <v>113</v>
      </c>
      <c r="D17" s="10"/>
      <c r="E17" s="10" t="s">
        <v>188</v>
      </c>
      <c r="F17" s="10" t="s">
        <v>967</v>
      </c>
      <c r="G17" s="10" t="s">
        <v>66</v>
      </c>
      <c r="H17" s="10"/>
      <c r="I17" s="8" t="s">
        <v>744</v>
      </c>
      <c r="J17" s="10" t="s">
        <v>745</v>
      </c>
      <c r="K17" s="10" t="s">
        <v>1160</v>
      </c>
      <c r="L17" s="93">
        <v>392</v>
      </c>
      <c r="M17" s="93"/>
      <c r="N17" s="20" t="s">
        <v>728</v>
      </c>
      <c r="O17" s="21">
        <v>42515</v>
      </c>
      <c r="P17" s="20" t="s">
        <v>728</v>
      </c>
      <c r="Q17" s="21">
        <v>42052</v>
      </c>
      <c r="R17" s="20" t="s">
        <v>728</v>
      </c>
      <c r="S17" s="21">
        <v>42488</v>
      </c>
      <c r="T17" s="10"/>
      <c r="U17" s="10"/>
      <c r="V17" s="10"/>
      <c r="W17" s="10"/>
      <c r="X17" s="89" t="s">
        <v>989</v>
      </c>
      <c r="Y17" s="100" t="s">
        <v>1168</v>
      </c>
      <c r="Z17" s="90">
        <v>42517</v>
      </c>
      <c r="AA17" s="38" t="s">
        <v>1156</v>
      </c>
      <c r="AB17" s="321"/>
      <c r="AC17" s="319">
        <v>42320</v>
      </c>
      <c r="AD17" s="158" t="s">
        <v>1061</v>
      </c>
      <c r="AE17" s="158"/>
      <c r="AF17" s="158"/>
      <c r="AG17" s="158"/>
      <c r="AH17" s="158"/>
      <c r="AI17" s="158" t="s">
        <v>1061</v>
      </c>
      <c r="AJ17" s="158"/>
      <c r="AK17" s="279"/>
    </row>
    <row r="18" spans="1:37" s="35" customFormat="1" x14ac:dyDescent="0.2">
      <c r="A18" s="37" t="s">
        <v>1164</v>
      </c>
      <c r="B18" s="10"/>
      <c r="C18" s="7" t="s">
        <v>113</v>
      </c>
      <c r="D18" s="10"/>
      <c r="E18" s="10" t="s">
        <v>188</v>
      </c>
      <c r="F18" s="10" t="s">
        <v>967</v>
      </c>
      <c r="G18" s="7" t="s">
        <v>305</v>
      </c>
      <c r="H18" s="7"/>
      <c r="I18" s="312" t="s">
        <v>746</v>
      </c>
      <c r="J18" s="7" t="s">
        <v>747</v>
      </c>
      <c r="K18" s="7" t="s">
        <v>748</v>
      </c>
      <c r="L18" s="93">
        <v>392</v>
      </c>
      <c r="M18" s="93"/>
      <c r="N18" s="20" t="s">
        <v>728</v>
      </c>
      <c r="O18" s="21">
        <v>42521</v>
      </c>
      <c r="P18" s="20" t="s">
        <v>728</v>
      </c>
      <c r="Q18" s="21">
        <v>42083</v>
      </c>
      <c r="R18" s="20" t="s">
        <v>728</v>
      </c>
      <c r="S18" s="21">
        <v>42520</v>
      </c>
      <c r="T18" s="10"/>
      <c r="U18" s="10"/>
      <c r="V18" s="10"/>
      <c r="W18" s="10"/>
      <c r="X18" s="89" t="s">
        <v>989</v>
      </c>
      <c r="Y18" s="100" t="s">
        <v>1180</v>
      </c>
      <c r="Z18" s="90">
        <v>42528</v>
      </c>
      <c r="AA18" s="38" t="s">
        <v>1156</v>
      </c>
      <c r="AB18" s="319">
        <v>41967</v>
      </c>
      <c r="AC18" s="319">
        <v>42971</v>
      </c>
      <c r="AD18" s="158"/>
      <c r="AE18" s="174" t="s">
        <v>1061</v>
      </c>
      <c r="AF18" s="158" t="s">
        <v>1061</v>
      </c>
      <c r="AG18" s="158"/>
      <c r="AH18" s="158"/>
      <c r="AI18" s="158"/>
      <c r="AJ18" s="158"/>
      <c r="AK18" s="279" t="s">
        <v>1061</v>
      </c>
    </row>
    <row r="19" spans="1:37" s="35" customFormat="1" x14ac:dyDescent="0.2">
      <c r="A19" s="307" t="s">
        <v>1170</v>
      </c>
      <c r="B19" s="8"/>
      <c r="C19" s="8" t="s">
        <v>113</v>
      </c>
      <c r="D19" s="8"/>
      <c r="E19" s="8" t="s">
        <v>188</v>
      </c>
      <c r="F19" s="8" t="s">
        <v>967</v>
      </c>
      <c r="G19" s="10" t="s">
        <v>75</v>
      </c>
      <c r="H19" s="8"/>
      <c r="I19" s="10" t="s">
        <v>777</v>
      </c>
      <c r="J19" s="10" t="s">
        <v>776</v>
      </c>
      <c r="K19" s="10" t="s">
        <v>727</v>
      </c>
      <c r="L19" s="93">
        <v>394</v>
      </c>
      <c r="M19" s="93"/>
      <c r="N19" s="20" t="s">
        <v>728</v>
      </c>
      <c r="O19" s="21">
        <v>42521</v>
      </c>
      <c r="P19" s="20" t="s">
        <v>728</v>
      </c>
      <c r="Q19" s="21">
        <v>42083</v>
      </c>
      <c r="R19" s="20" t="s">
        <v>728</v>
      </c>
      <c r="S19" s="21">
        <v>42522</v>
      </c>
      <c r="T19" s="10"/>
      <c r="U19" s="10"/>
      <c r="V19" s="10"/>
      <c r="W19" s="10"/>
      <c r="X19" s="89" t="s">
        <v>989</v>
      </c>
      <c r="Y19" s="100" t="s">
        <v>1195</v>
      </c>
      <c r="Z19" s="90">
        <v>42541</v>
      </c>
      <c r="AA19" s="38" t="s">
        <v>1156</v>
      </c>
      <c r="AB19" s="321"/>
      <c r="AC19" s="319">
        <v>42824</v>
      </c>
      <c r="AD19" s="158"/>
      <c r="AE19" s="174" t="s">
        <v>1061</v>
      </c>
      <c r="AF19" s="158" t="s">
        <v>1061</v>
      </c>
      <c r="AG19" s="158"/>
      <c r="AH19" s="158"/>
      <c r="AI19" s="158"/>
      <c r="AJ19" s="158"/>
      <c r="AK19" s="279" t="s">
        <v>1061</v>
      </c>
    </row>
    <row r="20" spans="1:37" s="35" customFormat="1" x14ac:dyDescent="0.2">
      <c r="A20" s="26" t="s">
        <v>1248</v>
      </c>
      <c r="B20" s="314"/>
      <c r="C20" s="15" t="s">
        <v>113</v>
      </c>
      <c r="D20" s="15"/>
      <c r="E20" s="15" t="s">
        <v>188</v>
      </c>
      <c r="F20" s="15" t="s">
        <v>967</v>
      </c>
      <c r="G20" s="314" t="s">
        <v>346</v>
      </c>
      <c r="H20" s="39" t="s">
        <v>347</v>
      </c>
      <c r="I20" s="39"/>
      <c r="J20" s="39"/>
      <c r="K20" s="39" t="s">
        <v>1249</v>
      </c>
      <c r="L20" s="94">
        <v>28</v>
      </c>
      <c r="M20" s="94"/>
      <c r="N20" s="20" t="s">
        <v>1250</v>
      </c>
      <c r="O20" s="21">
        <v>42681</v>
      </c>
      <c r="P20" s="20" t="s">
        <v>1250</v>
      </c>
      <c r="Q20" s="21">
        <v>42726</v>
      </c>
      <c r="R20" s="20" t="s">
        <v>1250</v>
      </c>
      <c r="S20" s="21">
        <v>42928</v>
      </c>
      <c r="T20" s="39"/>
      <c r="U20" s="39"/>
      <c r="V20" s="39"/>
      <c r="W20" s="39"/>
      <c r="X20" s="89" t="s">
        <v>989</v>
      </c>
      <c r="Y20" s="89" t="s">
        <v>1365</v>
      </c>
      <c r="Z20" s="90">
        <v>42934</v>
      </c>
      <c r="AA20" s="19" t="s">
        <v>1156</v>
      </c>
      <c r="AB20" s="321"/>
      <c r="AC20" s="321"/>
      <c r="AD20" s="158"/>
      <c r="AE20" s="158"/>
      <c r="AF20" s="158"/>
      <c r="AG20" s="158" t="s">
        <v>1061</v>
      </c>
      <c r="AH20" s="158"/>
      <c r="AI20" s="158"/>
      <c r="AJ20" s="158"/>
      <c r="AK20" s="279"/>
    </row>
    <row r="21" spans="1:37" s="35" customFormat="1" x14ac:dyDescent="0.2">
      <c r="A21" s="26" t="s">
        <v>1169</v>
      </c>
      <c r="B21" s="314"/>
      <c r="C21" s="15" t="s">
        <v>113</v>
      </c>
      <c r="D21" s="15"/>
      <c r="E21" s="15" t="s">
        <v>188</v>
      </c>
      <c r="F21" s="15" t="s">
        <v>967</v>
      </c>
      <c r="G21" s="314" t="s">
        <v>61</v>
      </c>
      <c r="H21" s="39"/>
      <c r="I21" s="39" t="s">
        <v>751</v>
      </c>
      <c r="J21" s="39" t="s">
        <v>752</v>
      </c>
      <c r="K21" s="39" t="s">
        <v>753</v>
      </c>
      <c r="L21" s="94">
        <v>394</v>
      </c>
      <c r="M21" s="94"/>
      <c r="N21" s="20" t="s">
        <v>728</v>
      </c>
      <c r="O21" s="21">
        <v>42521</v>
      </c>
      <c r="P21" s="20" t="s">
        <v>728</v>
      </c>
      <c r="Q21" s="21">
        <v>42083</v>
      </c>
      <c r="R21" s="20" t="s">
        <v>728</v>
      </c>
      <c r="S21" s="21">
        <v>42538</v>
      </c>
      <c r="T21" s="39"/>
      <c r="U21" s="39"/>
      <c r="V21" s="39"/>
      <c r="W21" s="39"/>
      <c r="X21" s="89" t="s">
        <v>989</v>
      </c>
      <c r="Y21" s="100" t="s">
        <v>1193</v>
      </c>
      <c r="Z21" s="90">
        <v>42541</v>
      </c>
      <c r="AA21" s="38" t="s">
        <v>1156</v>
      </c>
      <c r="AB21" s="318"/>
      <c r="AC21" s="319">
        <v>42775</v>
      </c>
      <c r="AD21" s="158"/>
      <c r="AE21" s="174" t="s">
        <v>1061</v>
      </c>
      <c r="AF21" s="158" t="s">
        <v>1061</v>
      </c>
      <c r="AG21" s="158"/>
      <c r="AH21" s="158"/>
      <c r="AI21" s="158"/>
      <c r="AJ21" s="158"/>
      <c r="AK21" s="279" t="s">
        <v>1061</v>
      </c>
    </row>
    <row r="22" spans="1:37" s="35" customFormat="1" x14ac:dyDescent="0.2">
      <c r="A22" s="307" t="s">
        <v>1161</v>
      </c>
      <c r="B22" s="8"/>
      <c r="C22" s="8" t="s">
        <v>113</v>
      </c>
      <c r="D22" s="8"/>
      <c r="E22" s="8" t="s">
        <v>188</v>
      </c>
      <c r="F22" s="8" t="s">
        <v>967</v>
      </c>
      <c r="G22" s="7" t="s">
        <v>69</v>
      </c>
      <c r="H22" s="8" t="s">
        <v>306</v>
      </c>
      <c r="I22" s="7"/>
      <c r="J22" s="7"/>
      <c r="K22" s="10" t="s">
        <v>307</v>
      </c>
      <c r="L22" s="93">
        <v>392</v>
      </c>
      <c r="M22" s="93"/>
      <c r="N22" s="20" t="s">
        <v>728</v>
      </c>
      <c r="O22" s="21">
        <v>42515</v>
      </c>
      <c r="P22" s="20" t="s">
        <v>728</v>
      </c>
      <c r="Q22" s="21">
        <v>42123</v>
      </c>
      <c r="R22" s="20" t="s">
        <v>728</v>
      </c>
      <c r="S22" s="21">
        <v>42489</v>
      </c>
      <c r="T22" s="10"/>
      <c r="U22" s="10"/>
      <c r="V22" s="10"/>
      <c r="W22" s="10"/>
      <c r="X22" s="89" t="s">
        <v>989</v>
      </c>
      <c r="Y22" s="100" t="s">
        <v>1167</v>
      </c>
      <c r="Z22" s="90">
        <v>42517</v>
      </c>
      <c r="AA22" s="38" t="s">
        <v>1156</v>
      </c>
      <c r="AB22" s="318"/>
      <c r="AC22" s="319">
        <v>42320</v>
      </c>
      <c r="AD22" s="158" t="s">
        <v>1061</v>
      </c>
      <c r="AE22" s="158"/>
      <c r="AF22" s="158"/>
      <c r="AG22" s="158"/>
      <c r="AH22" s="158"/>
      <c r="AI22" s="158" t="s">
        <v>1061</v>
      </c>
      <c r="AJ22" s="158"/>
      <c r="AK22" s="279"/>
    </row>
    <row r="23" spans="1:37" s="35" customFormat="1" x14ac:dyDescent="0.2">
      <c r="A23" s="307" t="s">
        <v>1162</v>
      </c>
      <c r="B23" s="8"/>
      <c r="C23" s="8" t="s">
        <v>113</v>
      </c>
      <c r="D23" s="8"/>
      <c r="E23" s="8" t="s">
        <v>188</v>
      </c>
      <c r="F23" s="8" t="s">
        <v>967</v>
      </c>
      <c r="G23" s="7" t="s">
        <v>69</v>
      </c>
      <c r="H23" s="8"/>
      <c r="I23" s="7" t="s">
        <v>756</v>
      </c>
      <c r="J23" s="7" t="s">
        <v>757</v>
      </c>
      <c r="K23" s="10" t="s">
        <v>758</v>
      </c>
      <c r="L23" s="93">
        <v>392</v>
      </c>
      <c r="M23" s="93"/>
      <c r="N23" s="20" t="s">
        <v>728</v>
      </c>
      <c r="O23" s="21">
        <v>42515</v>
      </c>
      <c r="P23" s="20" t="s">
        <v>728</v>
      </c>
      <c r="Q23" s="21">
        <v>42081</v>
      </c>
      <c r="R23" s="20" t="s">
        <v>728</v>
      </c>
      <c r="S23" s="21">
        <v>42488</v>
      </c>
      <c r="T23" s="10"/>
      <c r="U23" s="10"/>
      <c r="V23" s="10"/>
      <c r="W23" s="10"/>
      <c r="X23" s="89" t="s">
        <v>989</v>
      </c>
      <c r="Y23" s="100" t="s">
        <v>1166</v>
      </c>
      <c r="Z23" s="90">
        <v>42517</v>
      </c>
      <c r="AA23" s="38" t="s">
        <v>1156</v>
      </c>
      <c r="AB23" s="321"/>
      <c r="AC23" s="319">
        <v>42320</v>
      </c>
      <c r="AD23" s="158" t="s">
        <v>1061</v>
      </c>
      <c r="AE23" s="158"/>
      <c r="AF23" s="158"/>
      <c r="AG23" s="158"/>
      <c r="AH23" s="158"/>
      <c r="AI23" s="158" t="s">
        <v>1061</v>
      </c>
      <c r="AJ23" s="158"/>
      <c r="AK23" s="279"/>
    </row>
    <row r="24" spans="1:37" s="35" customFormat="1" x14ac:dyDescent="0.2">
      <c r="A24" s="26" t="s">
        <v>1171</v>
      </c>
      <c r="B24" s="314"/>
      <c r="C24" s="15" t="s">
        <v>113</v>
      </c>
      <c r="D24" s="15"/>
      <c r="E24" s="15" t="s">
        <v>188</v>
      </c>
      <c r="F24" s="15" t="s">
        <v>967</v>
      </c>
      <c r="G24" s="314" t="s">
        <v>75</v>
      </c>
      <c r="H24" s="39"/>
      <c r="I24" s="39" t="s">
        <v>725</v>
      </c>
      <c r="J24" s="39" t="s">
        <v>726</v>
      </c>
      <c r="K24" s="39" t="s">
        <v>727</v>
      </c>
      <c r="L24" s="94">
        <v>394</v>
      </c>
      <c r="M24" s="94"/>
      <c r="N24" s="20" t="s">
        <v>728</v>
      </c>
      <c r="O24" s="21">
        <v>42521</v>
      </c>
      <c r="P24" s="20" t="s">
        <v>728</v>
      </c>
      <c r="Q24" s="21">
        <v>42083</v>
      </c>
      <c r="R24" s="20" t="s">
        <v>728</v>
      </c>
      <c r="S24" s="21">
        <v>42522</v>
      </c>
      <c r="T24" s="39"/>
      <c r="U24" s="39"/>
      <c r="V24" s="39"/>
      <c r="W24" s="39"/>
      <c r="X24" s="89" t="s">
        <v>989</v>
      </c>
      <c r="Y24" s="100" t="s">
        <v>1194</v>
      </c>
      <c r="Z24" s="90">
        <v>42541</v>
      </c>
      <c r="AA24" s="38" t="s">
        <v>1156</v>
      </c>
      <c r="AB24" s="321"/>
      <c r="AC24" s="319">
        <v>42240</v>
      </c>
      <c r="AD24" s="158" t="s">
        <v>1061</v>
      </c>
      <c r="AE24" s="158"/>
      <c r="AF24" s="158"/>
      <c r="AG24" s="158"/>
      <c r="AH24" s="158"/>
      <c r="AI24" s="158" t="s">
        <v>1061</v>
      </c>
      <c r="AJ24" s="158"/>
      <c r="AK24" s="279"/>
    </row>
    <row r="25" spans="1:37" s="35" customFormat="1" x14ac:dyDescent="0.2">
      <c r="A25" s="306" t="s">
        <v>600</v>
      </c>
      <c r="B25" s="313"/>
      <c r="C25" s="8" t="s">
        <v>113</v>
      </c>
      <c r="D25" s="8"/>
      <c r="E25" s="8" t="s">
        <v>325</v>
      </c>
      <c r="F25" s="8" t="s">
        <v>959</v>
      </c>
      <c r="G25" s="10" t="s">
        <v>69</v>
      </c>
      <c r="H25" s="8" t="s">
        <v>70</v>
      </c>
      <c r="I25" s="10"/>
      <c r="J25" s="10"/>
      <c r="K25" s="10" t="s">
        <v>601</v>
      </c>
      <c r="L25" s="94">
        <v>384</v>
      </c>
      <c r="M25" s="94"/>
      <c r="N25" s="20" t="s">
        <v>541</v>
      </c>
      <c r="O25" s="21">
        <v>42591</v>
      </c>
      <c r="P25" s="20" t="s">
        <v>541</v>
      </c>
      <c r="Q25" s="21">
        <v>41754</v>
      </c>
      <c r="R25" s="20" t="s">
        <v>541</v>
      </c>
      <c r="S25" s="21">
        <v>41946</v>
      </c>
      <c r="T25" s="10"/>
      <c r="U25" s="10"/>
      <c r="V25" s="10"/>
      <c r="W25" s="10"/>
      <c r="X25" s="89" t="s">
        <v>989</v>
      </c>
      <c r="Y25" s="89" t="s">
        <v>795</v>
      </c>
      <c r="Z25" s="90">
        <v>41963</v>
      </c>
      <c r="AA25" s="19" t="s">
        <v>569</v>
      </c>
      <c r="AB25" s="321"/>
      <c r="AC25" s="319">
        <v>42688</v>
      </c>
      <c r="AD25" s="158"/>
      <c r="AE25" s="158" t="s">
        <v>1061</v>
      </c>
      <c r="AF25" s="158"/>
      <c r="AG25" s="158"/>
      <c r="AH25" s="158"/>
      <c r="AI25" s="158"/>
      <c r="AJ25" s="158" t="s">
        <v>1061</v>
      </c>
      <c r="AK25" s="279"/>
    </row>
    <row r="26" spans="1:37" s="35" customFormat="1" x14ac:dyDescent="0.2">
      <c r="A26" s="306" t="s">
        <v>590</v>
      </c>
      <c r="B26" s="313"/>
      <c r="C26" s="8" t="s">
        <v>113</v>
      </c>
      <c r="D26" s="8"/>
      <c r="E26" s="8" t="s">
        <v>325</v>
      </c>
      <c r="F26" s="8" t="s">
        <v>959</v>
      </c>
      <c r="G26" s="10" t="s">
        <v>56</v>
      </c>
      <c r="H26" s="8" t="s">
        <v>88</v>
      </c>
      <c r="I26" s="10"/>
      <c r="J26" s="10"/>
      <c r="K26" s="10" t="s">
        <v>523</v>
      </c>
      <c r="L26" s="94">
        <v>384</v>
      </c>
      <c r="M26" s="94"/>
      <c r="N26" s="20" t="s">
        <v>541</v>
      </c>
      <c r="O26" s="21">
        <v>42591</v>
      </c>
      <c r="P26" s="20" t="s">
        <v>541</v>
      </c>
      <c r="Q26" s="21">
        <v>41754</v>
      </c>
      <c r="R26" s="20" t="s">
        <v>541</v>
      </c>
      <c r="S26" s="21">
        <v>41956</v>
      </c>
      <c r="T26" s="10"/>
      <c r="U26" s="10"/>
      <c r="V26" s="10"/>
      <c r="W26" s="10"/>
      <c r="X26" s="89" t="s">
        <v>989</v>
      </c>
      <c r="Y26" s="89" t="s">
        <v>809</v>
      </c>
      <c r="Z26" s="90">
        <v>41963</v>
      </c>
      <c r="AA26" s="19" t="s">
        <v>569</v>
      </c>
      <c r="AB26" s="321"/>
      <c r="AC26" s="319">
        <v>41956</v>
      </c>
      <c r="AD26" s="158"/>
      <c r="AE26" s="158"/>
      <c r="AF26" s="158"/>
      <c r="AG26" s="158" t="s">
        <v>1061</v>
      </c>
      <c r="AH26" s="158"/>
      <c r="AI26" s="158"/>
      <c r="AJ26" s="158"/>
      <c r="AK26" s="279"/>
    </row>
    <row r="27" spans="1:37" s="35" customFormat="1" x14ac:dyDescent="0.2">
      <c r="A27" s="306" t="s">
        <v>598</v>
      </c>
      <c r="B27" s="313"/>
      <c r="C27" s="8" t="s">
        <v>113</v>
      </c>
      <c r="D27" s="8"/>
      <c r="E27" s="8" t="s">
        <v>325</v>
      </c>
      <c r="F27" s="8" t="s">
        <v>959</v>
      </c>
      <c r="G27" s="10" t="s">
        <v>69</v>
      </c>
      <c r="H27" s="8" t="s">
        <v>306</v>
      </c>
      <c r="I27" s="10"/>
      <c r="J27" s="10"/>
      <c r="K27" s="10" t="s">
        <v>531</v>
      </c>
      <c r="L27" s="94">
        <v>384</v>
      </c>
      <c r="M27" s="94"/>
      <c r="N27" s="20" t="s">
        <v>541</v>
      </c>
      <c r="O27" s="21">
        <v>42591</v>
      </c>
      <c r="P27" s="20" t="s">
        <v>541</v>
      </c>
      <c r="Q27" s="21">
        <v>41754</v>
      </c>
      <c r="R27" s="20" t="s">
        <v>541</v>
      </c>
      <c r="S27" s="21">
        <v>41946</v>
      </c>
      <c r="T27" s="10"/>
      <c r="U27" s="10"/>
      <c r="V27" s="10"/>
      <c r="W27" s="10"/>
      <c r="X27" s="89" t="s">
        <v>989</v>
      </c>
      <c r="Y27" s="89" t="s">
        <v>796</v>
      </c>
      <c r="Z27" s="90">
        <v>41963</v>
      </c>
      <c r="AA27" s="19" t="s">
        <v>569</v>
      </c>
      <c r="AB27" s="321"/>
      <c r="AC27" s="319">
        <v>41941</v>
      </c>
      <c r="AD27" s="158"/>
      <c r="AE27" s="158"/>
      <c r="AF27" s="158"/>
      <c r="AG27" s="158" t="s">
        <v>1061</v>
      </c>
      <c r="AH27" s="158"/>
      <c r="AI27" s="158"/>
      <c r="AJ27" s="158"/>
      <c r="AK27" s="279"/>
    </row>
    <row r="28" spans="1:37" s="35" customFormat="1" x14ac:dyDescent="0.2">
      <c r="A28" s="306" t="s">
        <v>588</v>
      </c>
      <c r="B28" s="313"/>
      <c r="C28" s="8" t="s">
        <v>113</v>
      </c>
      <c r="D28" s="8"/>
      <c r="E28" s="8" t="s">
        <v>325</v>
      </c>
      <c r="F28" s="8" t="s">
        <v>959</v>
      </c>
      <c r="G28" s="10" t="s">
        <v>316</v>
      </c>
      <c r="H28" s="8" t="s">
        <v>559</v>
      </c>
      <c r="I28" s="10"/>
      <c r="J28" s="10"/>
      <c r="K28" s="10" t="s">
        <v>560</v>
      </c>
      <c r="L28" s="94">
        <v>384</v>
      </c>
      <c r="M28" s="94"/>
      <c r="N28" s="20" t="s">
        <v>541</v>
      </c>
      <c r="O28" s="21">
        <v>42591</v>
      </c>
      <c r="P28" s="20" t="s">
        <v>541</v>
      </c>
      <c r="Q28" s="21">
        <v>41754</v>
      </c>
      <c r="R28" s="20" t="s">
        <v>541</v>
      </c>
      <c r="S28" s="21">
        <v>41946</v>
      </c>
      <c r="T28" s="10"/>
      <c r="U28" s="10"/>
      <c r="V28" s="10"/>
      <c r="W28" s="10"/>
      <c r="X28" s="89" t="s">
        <v>989</v>
      </c>
      <c r="Y28" s="89" t="s">
        <v>800</v>
      </c>
      <c r="Z28" s="90">
        <v>41963</v>
      </c>
      <c r="AA28" s="19" t="s">
        <v>569</v>
      </c>
      <c r="AB28" s="321"/>
      <c r="AC28" s="319">
        <v>41935</v>
      </c>
      <c r="AD28" s="158"/>
      <c r="AE28" s="158"/>
      <c r="AF28" s="158"/>
      <c r="AG28" s="158" t="s">
        <v>1061</v>
      </c>
      <c r="AH28" s="158"/>
      <c r="AI28" s="158"/>
      <c r="AJ28" s="158"/>
      <c r="AK28" s="279"/>
    </row>
    <row r="29" spans="1:37" s="35" customFormat="1" x14ac:dyDescent="0.2">
      <c r="A29" s="306" t="s">
        <v>621</v>
      </c>
      <c r="B29" s="313"/>
      <c r="C29" s="8" t="s">
        <v>113</v>
      </c>
      <c r="D29" s="8"/>
      <c r="E29" s="8" t="s">
        <v>325</v>
      </c>
      <c r="F29" s="8" t="s">
        <v>959</v>
      </c>
      <c r="G29" s="10" t="s">
        <v>107</v>
      </c>
      <c r="H29" s="8" t="s">
        <v>108</v>
      </c>
      <c r="I29" s="10"/>
      <c r="J29" s="10"/>
      <c r="K29" s="10" t="s">
        <v>622</v>
      </c>
      <c r="L29" s="94">
        <v>384</v>
      </c>
      <c r="M29" s="94"/>
      <c r="N29" s="20" t="s">
        <v>541</v>
      </c>
      <c r="O29" s="21">
        <v>42591</v>
      </c>
      <c r="P29" s="20" t="s">
        <v>541</v>
      </c>
      <c r="Q29" s="21">
        <v>41754</v>
      </c>
      <c r="R29" s="20" t="s">
        <v>541</v>
      </c>
      <c r="S29" s="21">
        <v>41948</v>
      </c>
      <c r="T29" s="10"/>
      <c r="U29" s="10"/>
      <c r="V29" s="10"/>
      <c r="W29" s="10"/>
      <c r="X29" s="89" t="s">
        <v>989</v>
      </c>
      <c r="Y29" s="89" t="s">
        <v>801</v>
      </c>
      <c r="Z29" s="90">
        <v>41963</v>
      </c>
      <c r="AA29" s="19" t="s">
        <v>569</v>
      </c>
      <c r="AB29" s="321"/>
      <c r="AC29" s="319">
        <v>41948</v>
      </c>
      <c r="AD29" s="158"/>
      <c r="AE29" s="158"/>
      <c r="AF29" s="158"/>
      <c r="AG29" s="158" t="s">
        <v>1061</v>
      </c>
      <c r="AH29" s="158"/>
      <c r="AI29" s="158"/>
      <c r="AJ29" s="158"/>
      <c r="AK29" s="279"/>
    </row>
    <row r="30" spans="1:37" s="35" customFormat="1" x14ac:dyDescent="0.2">
      <c r="A30" s="306" t="s">
        <v>589</v>
      </c>
      <c r="B30" s="313"/>
      <c r="C30" s="8" t="s">
        <v>113</v>
      </c>
      <c r="D30" s="8"/>
      <c r="E30" s="8" t="s">
        <v>325</v>
      </c>
      <c r="F30" s="8" t="s">
        <v>959</v>
      </c>
      <c r="G30" s="10" t="s">
        <v>61</v>
      </c>
      <c r="H30" s="8" t="s">
        <v>322</v>
      </c>
      <c r="I30" s="10"/>
      <c r="J30" s="10"/>
      <c r="K30" s="10" t="s">
        <v>542</v>
      </c>
      <c r="L30" s="94">
        <v>424</v>
      </c>
      <c r="M30" s="94"/>
      <c r="N30" s="20" t="s">
        <v>541</v>
      </c>
      <c r="O30" s="21">
        <v>42591</v>
      </c>
      <c r="P30" s="20" t="s">
        <v>541</v>
      </c>
      <c r="Q30" s="21">
        <v>41754</v>
      </c>
      <c r="R30" s="20" t="s">
        <v>541</v>
      </c>
      <c r="S30" s="21">
        <v>41961</v>
      </c>
      <c r="T30" s="10"/>
      <c r="U30" s="10"/>
      <c r="V30" s="10"/>
      <c r="W30" s="10"/>
      <c r="X30" s="89" t="s">
        <v>989</v>
      </c>
      <c r="Y30" s="89" t="s">
        <v>793</v>
      </c>
      <c r="Z30" s="90">
        <v>41963</v>
      </c>
      <c r="AA30" s="19" t="s">
        <v>569</v>
      </c>
      <c r="AB30" s="321"/>
      <c r="AC30" s="320">
        <v>42752</v>
      </c>
      <c r="AD30" s="158"/>
      <c r="AE30" s="158"/>
      <c r="AF30" s="158" t="s">
        <v>1061</v>
      </c>
      <c r="AG30" s="158"/>
      <c r="AH30" s="158"/>
      <c r="AI30" s="158"/>
      <c r="AJ30" s="158"/>
      <c r="AK30" s="279" t="s">
        <v>1061</v>
      </c>
    </row>
    <row r="31" spans="1:37" s="35" customFormat="1" x14ac:dyDescent="0.2">
      <c r="A31" s="306" t="s">
        <v>593</v>
      </c>
      <c r="B31" s="313"/>
      <c r="C31" s="8" t="s">
        <v>113</v>
      </c>
      <c r="D31" s="8"/>
      <c r="E31" s="8" t="s">
        <v>325</v>
      </c>
      <c r="F31" s="8" t="s">
        <v>959</v>
      </c>
      <c r="G31" s="10" t="s">
        <v>56</v>
      </c>
      <c r="H31" s="8"/>
      <c r="I31" s="10" t="s">
        <v>165</v>
      </c>
      <c r="J31" s="10" t="s">
        <v>521</v>
      </c>
      <c r="K31" s="10" t="s">
        <v>526</v>
      </c>
      <c r="L31" s="94">
        <v>384</v>
      </c>
      <c r="M31" s="94"/>
      <c r="N31" s="20" t="s">
        <v>541</v>
      </c>
      <c r="O31" s="21">
        <v>42591</v>
      </c>
      <c r="P31" s="20" t="s">
        <v>541</v>
      </c>
      <c r="Q31" s="21">
        <v>41754</v>
      </c>
      <c r="R31" s="20" t="s">
        <v>541</v>
      </c>
      <c r="S31" s="21">
        <v>41955</v>
      </c>
      <c r="T31" s="10"/>
      <c r="U31" s="10"/>
      <c r="V31" s="10"/>
      <c r="W31" s="10"/>
      <c r="X31" s="89" t="s">
        <v>989</v>
      </c>
      <c r="Y31" s="89" t="s">
        <v>805</v>
      </c>
      <c r="Z31" s="90">
        <v>41963</v>
      </c>
      <c r="AA31" s="19" t="s">
        <v>569</v>
      </c>
      <c r="AB31" s="321"/>
      <c r="AC31" s="319">
        <v>41955</v>
      </c>
      <c r="AD31" s="158"/>
      <c r="AE31" s="158"/>
      <c r="AF31" s="158"/>
      <c r="AG31" s="158" t="s">
        <v>1061</v>
      </c>
      <c r="AH31" s="158"/>
      <c r="AI31" s="158"/>
      <c r="AJ31" s="158"/>
      <c r="AK31" s="279"/>
    </row>
    <row r="32" spans="1:37" s="35" customFormat="1" x14ac:dyDescent="0.2">
      <c r="A32" s="306" t="s">
        <v>921</v>
      </c>
      <c r="B32" s="313"/>
      <c r="C32" s="8" t="s">
        <v>113</v>
      </c>
      <c r="D32" s="8"/>
      <c r="E32" s="8" t="s">
        <v>325</v>
      </c>
      <c r="F32" s="8" t="s">
        <v>959</v>
      </c>
      <c r="G32" s="10" t="s">
        <v>56</v>
      </c>
      <c r="H32" s="8" t="s">
        <v>130</v>
      </c>
      <c r="I32" s="10"/>
      <c r="J32" s="10"/>
      <c r="K32" s="10" t="s">
        <v>922</v>
      </c>
      <c r="L32" s="94">
        <v>386</v>
      </c>
      <c r="M32" s="94"/>
      <c r="N32" s="20" t="s">
        <v>541</v>
      </c>
      <c r="O32" s="21">
        <v>42591</v>
      </c>
      <c r="P32" s="20" t="s">
        <v>541</v>
      </c>
      <c r="Q32" s="21">
        <v>42460</v>
      </c>
      <c r="R32" s="20" t="s">
        <v>541</v>
      </c>
      <c r="S32" s="21">
        <v>42492</v>
      </c>
      <c r="T32" s="10"/>
      <c r="U32" s="10"/>
      <c r="V32" s="10"/>
      <c r="W32" s="10"/>
      <c r="X32" s="89" t="s">
        <v>989</v>
      </c>
      <c r="Y32" s="89" t="s">
        <v>1152</v>
      </c>
      <c r="Z32" s="90">
        <v>42507</v>
      </c>
      <c r="AA32" s="19" t="s">
        <v>569</v>
      </c>
      <c r="AB32" s="321"/>
      <c r="AC32" s="319">
        <v>42990</v>
      </c>
      <c r="AD32" s="158"/>
      <c r="AE32" s="174" t="s">
        <v>1061</v>
      </c>
      <c r="AF32" s="158" t="s">
        <v>1061</v>
      </c>
      <c r="AG32" s="158"/>
      <c r="AH32" s="158"/>
      <c r="AI32" s="158"/>
      <c r="AJ32" s="158"/>
      <c r="AK32" s="279" t="s">
        <v>1061</v>
      </c>
    </row>
    <row r="33" spans="1:37" s="35" customFormat="1" x14ac:dyDescent="0.2">
      <c r="A33" s="306" t="s">
        <v>652</v>
      </c>
      <c r="B33" s="313"/>
      <c r="C33" s="8" t="s">
        <v>113</v>
      </c>
      <c r="D33" s="8"/>
      <c r="E33" s="8" t="s">
        <v>325</v>
      </c>
      <c r="F33" s="8" t="s">
        <v>959</v>
      </c>
      <c r="G33" s="10" t="s">
        <v>260</v>
      </c>
      <c r="H33" s="8" t="s">
        <v>261</v>
      </c>
      <c r="I33" s="10"/>
      <c r="J33" s="10"/>
      <c r="K33" s="10" t="s">
        <v>653</v>
      </c>
      <c r="L33" s="94">
        <v>424</v>
      </c>
      <c r="M33" s="94"/>
      <c r="N33" s="20" t="s">
        <v>541</v>
      </c>
      <c r="O33" s="21">
        <v>42591</v>
      </c>
      <c r="P33" s="20" t="s">
        <v>541</v>
      </c>
      <c r="Q33" s="21">
        <v>41809</v>
      </c>
      <c r="R33" s="20" t="s">
        <v>541</v>
      </c>
      <c r="S33" s="21">
        <v>41949</v>
      </c>
      <c r="T33" s="10"/>
      <c r="U33" s="10"/>
      <c r="V33" s="10"/>
      <c r="W33" s="10"/>
      <c r="X33" s="89" t="s">
        <v>989</v>
      </c>
      <c r="Y33" s="89" t="s">
        <v>798</v>
      </c>
      <c r="Z33" s="90">
        <v>41963</v>
      </c>
      <c r="AA33" s="19" t="s">
        <v>569</v>
      </c>
      <c r="AB33" s="321"/>
      <c r="AC33" s="320">
        <v>42859</v>
      </c>
      <c r="AD33" s="158"/>
      <c r="AE33" s="174" t="s">
        <v>1061</v>
      </c>
      <c r="AF33" s="158" t="s">
        <v>1061</v>
      </c>
      <c r="AG33" s="158"/>
      <c r="AH33" s="158"/>
      <c r="AI33" s="158"/>
      <c r="AJ33" s="158"/>
      <c r="AK33" s="279" t="s">
        <v>1061</v>
      </c>
    </row>
    <row r="34" spans="1:37" s="35" customFormat="1" x14ac:dyDescent="0.2">
      <c r="A34" s="306" t="s">
        <v>594</v>
      </c>
      <c r="B34" s="313"/>
      <c r="C34" s="8" t="s">
        <v>113</v>
      </c>
      <c r="D34" s="8"/>
      <c r="E34" s="8" t="s">
        <v>325</v>
      </c>
      <c r="F34" s="8" t="s">
        <v>959</v>
      </c>
      <c r="G34" s="10" t="s">
        <v>56</v>
      </c>
      <c r="H34" s="8"/>
      <c r="I34" s="10" t="s">
        <v>166</v>
      </c>
      <c r="J34" s="10" t="s">
        <v>522</v>
      </c>
      <c r="K34" s="10" t="s">
        <v>527</v>
      </c>
      <c r="L34" s="94">
        <v>384</v>
      </c>
      <c r="M34" s="94"/>
      <c r="N34" s="20" t="s">
        <v>541</v>
      </c>
      <c r="O34" s="21">
        <v>42591</v>
      </c>
      <c r="P34" s="20" t="s">
        <v>541</v>
      </c>
      <c r="Q34" s="21">
        <v>41754</v>
      </c>
      <c r="R34" s="20" t="s">
        <v>541</v>
      </c>
      <c r="S34" s="21">
        <v>41954</v>
      </c>
      <c r="T34" s="10"/>
      <c r="U34" s="10"/>
      <c r="V34" s="10"/>
      <c r="W34" s="10"/>
      <c r="X34" s="89" t="s">
        <v>989</v>
      </c>
      <c r="Y34" s="89" t="s">
        <v>804</v>
      </c>
      <c r="Z34" s="90">
        <v>41963</v>
      </c>
      <c r="AA34" s="19" t="s">
        <v>569</v>
      </c>
      <c r="AB34" s="321"/>
      <c r="AC34" s="319">
        <v>41954</v>
      </c>
      <c r="AD34" s="158"/>
      <c r="AE34" s="158"/>
      <c r="AF34" s="158"/>
      <c r="AG34" s="158" t="s">
        <v>1061</v>
      </c>
      <c r="AH34" s="158"/>
      <c r="AI34" s="158"/>
      <c r="AJ34" s="158"/>
      <c r="AK34" s="279"/>
    </row>
    <row r="35" spans="1:37" s="35" customFormat="1" x14ac:dyDescent="0.2">
      <c r="A35" s="306" t="s">
        <v>654</v>
      </c>
      <c r="B35" s="313"/>
      <c r="C35" s="8" t="s">
        <v>113</v>
      </c>
      <c r="D35" s="8"/>
      <c r="E35" s="8" t="s">
        <v>325</v>
      </c>
      <c r="F35" s="8" t="s">
        <v>959</v>
      </c>
      <c r="G35" s="10" t="s">
        <v>56</v>
      </c>
      <c r="H35" s="8"/>
      <c r="I35" s="10" t="s">
        <v>172</v>
      </c>
      <c r="J35" s="10" t="s">
        <v>178</v>
      </c>
      <c r="K35" s="10" t="s">
        <v>655</v>
      </c>
      <c r="L35" s="94">
        <v>424</v>
      </c>
      <c r="M35" s="94"/>
      <c r="N35" s="20" t="s">
        <v>541</v>
      </c>
      <c r="O35" s="21">
        <v>42591</v>
      </c>
      <c r="P35" s="20" t="s">
        <v>541</v>
      </c>
      <c r="Q35" s="21">
        <v>41809</v>
      </c>
      <c r="R35" s="20" t="s">
        <v>541</v>
      </c>
      <c r="S35" s="21">
        <v>41955</v>
      </c>
      <c r="T35" s="10"/>
      <c r="U35" s="10"/>
      <c r="V35" s="10"/>
      <c r="W35" s="10"/>
      <c r="X35" s="89" t="s">
        <v>989</v>
      </c>
      <c r="Y35" s="89" t="s">
        <v>803</v>
      </c>
      <c r="Z35" s="90">
        <v>41963</v>
      </c>
      <c r="AA35" s="19" t="s">
        <v>569</v>
      </c>
      <c r="AB35" s="321"/>
      <c r="AC35" s="319">
        <v>41955</v>
      </c>
      <c r="AD35" s="158"/>
      <c r="AE35" s="158"/>
      <c r="AF35" s="158"/>
      <c r="AG35" s="158" t="s">
        <v>1061</v>
      </c>
      <c r="AH35" s="158"/>
      <c r="AI35" s="158"/>
      <c r="AJ35" s="158"/>
      <c r="AK35" s="279"/>
    </row>
    <row r="36" spans="1:37" x14ac:dyDescent="0.2">
      <c r="A36" s="306" t="s">
        <v>592</v>
      </c>
      <c r="B36" s="313"/>
      <c r="C36" s="8" t="s">
        <v>113</v>
      </c>
      <c r="D36" s="8"/>
      <c r="E36" s="8" t="s">
        <v>325</v>
      </c>
      <c r="F36" s="8" t="s">
        <v>959</v>
      </c>
      <c r="G36" s="10" t="s">
        <v>56</v>
      </c>
      <c r="H36" s="8" t="s">
        <v>110</v>
      </c>
      <c r="I36" s="10"/>
      <c r="J36" s="10"/>
      <c r="K36" s="10" t="s">
        <v>525</v>
      </c>
      <c r="L36" s="94">
        <v>384</v>
      </c>
      <c r="M36" s="94"/>
      <c r="N36" s="20" t="s">
        <v>541</v>
      </c>
      <c r="O36" s="21">
        <v>42591</v>
      </c>
      <c r="P36" s="20" t="s">
        <v>541</v>
      </c>
      <c r="Q36" s="21">
        <v>41754</v>
      </c>
      <c r="R36" s="20" t="s">
        <v>541</v>
      </c>
      <c r="S36" s="21">
        <v>41957</v>
      </c>
      <c r="T36" s="10"/>
      <c r="U36" s="10"/>
      <c r="V36" s="10"/>
      <c r="W36" s="10"/>
      <c r="X36" s="89" t="s">
        <v>989</v>
      </c>
      <c r="Y36" s="89" t="s">
        <v>806</v>
      </c>
      <c r="Z36" s="90">
        <v>41963</v>
      </c>
      <c r="AA36" s="19" t="s">
        <v>569</v>
      </c>
      <c r="AB36" s="321"/>
      <c r="AC36" s="318">
        <v>41957</v>
      </c>
      <c r="AD36" s="158"/>
      <c r="AE36" s="158"/>
      <c r="AF36" s="158"/>
      <c r="AG36" s="158" t="s">
        <v>1061</v>
      </c>
      <c r="AH36" s="158"/>
      <c r="AI36" s="158"/>
      <c r="AJ36" s="158"/>
      <c r="AK36" s="279"/>
    </row>
    <row r="37" spans="1:37" x14ac:dyDescent="0.2">
      <c r="A37" s="306" t="s">
        <v>595</v>
      </c>
      <c r="B37" s="313"/>
      <c r="C37" s="8" t="s">
        <v>113</v>
      </c>
      <c r="D37" s="8"/>
      <c r="E37" s="8" t="s">
        <v>325</v>
      </c>
      <c r="F37" s="8" t="s">
        <v>959</v>
      </c>
      <c r="G37" s="10" t="s">
        <v>107</v>
      </c>
      <c r="H37" s="8" t="s">
        <v>270</v>
      </c>
      <c r="I37" s="10"/>
      <c r="J37" s="10"/>
      <c r="K37" s="10" t="s">
        <v>528</v>
      </c>
      <c r="L37" s="94">
        <v>384</v>
      </c>
      <c r="M37" s="94"/>
      <c r="N37" s="20" t="s">
        <v>541</v>
      </c>
      <c r="O37" s="21">
        <v>42591</v>
      </c>
      <c r="P37" s="20" t="s">
        <v>541</v>
      </c>
      <c r="Q37" s="21">
        <v>41754</v>
      </c>
      <c r="R37" s="20" t="s">
        <v>541</v>
      </c>
      <c r="S37" s="21">
        <v>41949</v>
      </c>
      <c r="T37" s="10"/>
      <c r="U37" s="10"/>
      <c r="V37" s="10"/>
      <c r="W37" s="10"/>
      <c r="X37" s="89" t="s">
        <v>989</v>
      </c>
      <c r="Y37" s="89" t="s">
        <v>802</v>
      </c>
      <c r="Z37" s="90">
        <v>41963</v>
      </c>
      <c r="AA37" s="19" t="s">
        <v>569</v>
      </c>
      <c r="AB37" s="321"/>
      <c r="AC37" s="318">
        <v>42846</v>
      </c>
      <c r="AD37" s="158"/>
      <c r="AE37" s="158"/>
      <c r="AF37" s="158" t="s">
        <v>1061</v>
      </c>
      <c r="AG37" s="158"/>
      <c r="AH37" s="158"/>
      <c r="AI37" s="158"/>
      <c r="AJ37" s="158"/>
      <c r="AK37" s="279" t="s">
        <v>1061</v>
      </c>
    </row>
    <row r="38" spans="1:37" s="35" customFormat="1" x14ac:dyDescent="0.2">
      <c r="A38" s="306" t="s">
        <v>596</v>
      </c>
      <c r="B38" s="313"/>
      <c r="C38" s="8" t="s">
        <v>113</v>
      </c>
      <c r="D38" s="8"/>
      <c r="E38" s="8" t="s">
        <v>325</v>
      </c>
      <c r="F38" s="8" t="s">
        <v>959</v>
      </c>
      <c r="G38" s="10" t="s">
        <v>327</v>
      </c>
      <c r="H38" s="8" t="s">
        <v>328</v>
      </c>
      <c r="I38" s="10"/>
      <c r="J38" s="10"/>
      <c r="K38" s="10" t="s">
        <v>529</v>
      </c>
      <c r="L38" s="94">
        <v>384</v>
      </c>
      <c r="M38" s="94"/>
      <c r="N38" s="20" t="s">
        <v>541</v>
      </c>
      <c r="O38" s="21">
        <v>42591</v>
      </c>
      <c r="P38" s="20" t="s">
        <v>541</v>
      </c>
      <c r="Q38" s="21">
        <v>41754</v>
      </c>
      <c r="R38" s="20" t="s">
        <v>541</v>
      </c>
      <c r="S38" s="21">
        <v>41961</v>
      </c>
      <c r="T38" s="10"/>
      <c r="U38" s="10"/>
      <c r="V38" s="10"/>
      <c r="W38" s="10"/>
      <c r="X38" s="89" t="s">
        <v>989</v>
      </c>
      <c r="Y38" s="89" t="s">
        <v>799</v>
      </c>
      <c r="Z38" s="90">
        <v>41963</v>
      </c>
      <c r="AA38" s="19" t="s">
        <v>569</v>
      </c>
      <c r="AB38" s="321"/>
      <c r="AC38" s="320">
        <v>42963</v>
      </c>
      <c r="AD38" s="158"/>
      <c r="AE38" s="158"/>
      <c r="AF38" s="158" t="s">
        <v>1061</v>
      </c>
      <c r="AG38" s="158"/>
      <c r="AH38" s="158"/>
      <c r="AI38" s="158"/>
      <c r="AJ38" s="158"/>
      <c r="AK38" s="279" t="s">
        <v>1061</v>
      </c>
    </row>
    <row r="39" spans="1:37" x14ac:dyDescent="0.2">
      <c r="A39" s="306" t="s">
        <v>597</v>
      </c>
      <c r="B39" s="313"/>
      <c r="C39" s="8" t="s">
        <v>113</v>
      </c>
      <c r="D39" s="8"/>
      <c r="E39" s="8" t="s">
        <v>325</v>
      </c>
      <c r="F39" s="8" t="s">
        <v>959</v>
      </c>
      <c r="G39" s="10" t="s">
        <v>69</v>
      </c>
      <c r="H39" s="8" t="s">
        <v>70</v>
      </c>
      <c r="I39" s="10"/>
      <c r="J39" s="10"/>
      <c r="K39" s="10" t="s">
        <v>530</v>
      </c>
      <c r="L39" s="94">
        <v>384</v>
      </c>
      <c r="M39" s="94"/>
      <c r="N39" s="20" t="s">
        <v>541</v>
      </c>
      <c r="O39" s="21">
        <v>42591</v>
      </c>
      <c r="P39" s="20" t="s">
        <v>541</v>
      </c>
      <c r="Q39" s="21">
        <v>41754</v>
      </c>
      <c r="R39" s="20" t="s">
        <v>541</v>
      </c>
      <c r="S39" s="21">
        <v>41922</v>
      </c>
      <c r="T39" s="10"/>
      <c r="U39" s="10"/>
      <c r="V39" s="10"/>
      <c r="W39" s="10"/>
      <c r="X39" s="89" t="s">
        <v>989</v>
      </c>
      <c r="Y39" s="89" t="s">
        <v>797</v>
      </c>
      <c r="Z39" s="90">
        <v>41963</v>
      </c>
      <c r="AA39" s="19" t="s">
        <v>569</v>
      </c>
      <c r="AB39" s="321"/>
      <c r="AC39" s="318">
        <v>42797</v>
      </c>
      <c r="AD39" s="158"/>
      <c r="AE39" s="158"/>
      <c r="AF39" s="158" t="s">
        <v>1061</v>
      </c>
      <c r="AG39" s="158"/>
      <c r="AH39" s="158"/>
      <c r="AI39" s="158"/>
      <c r="AJ39" s="158"/>
      <c r="AK39" s="279" t="s">
        <v>1061</v>
      </c>
    </row>
    <row r="40" spans="1:37" x14ac:dyDescent="0.2">
      <c r="A40" s="306" t="s">
        <v>613</v>
      </c>
      <c r="B40" s="313"/>
      <c r="C40" s="8" t="s">
        <v>113</v>
      </c>
      <c r="D40" s="8"/>
      <c r="E40" s="8" t="s">
        <v>325</v>
      </c>
      <c r="F40" s="8" t="s">
        <v>959</v>
      </c>
      <c r="G40" s="10" t="s">
        <v>56</v>
      </c>
      <c r="H40" s="8" t="s">
        <v>88</v>
      </c>
      <c r="I40" s="10"/>
      <c r="J40" s="10"/>
      <c r="K40" s="10" t="s">
        <v>614</v>
      </c>
      <c r="L40" s="94">
        <v>384</v>
      </c>
      <c r="M40" s="94"/>
      <c r="N40" s="20" t="s">
        <v>541</v>
      </c>
      <c r="O40" s="21">
        <v>42591</v>
      </c>
      <c r="P40" s="20" t="s">
        <v>541</v>
      </c>
      <c r="Q40" s="21">
        <v>41732</v>
      </c>
      <c r="R40" s="20" t="s">
        <v>541</v>
      </c>
      <c r="S40" s="21">
        <v>41956</v>
      </c>
      <c r="T40" s="10"/>
      <c r="U40" s="10"/>
      <c r="V40" s="10"/>
      <c r="W40" s="10"/>
      <c r="X40" s="89" t="s">
        <v>989</v>
      </c>
      <c r="Y40" s="89" t="s">
        <v>808</v>
      </c>
      <c r="Z40" s="90">
        <v>41963</v>
      </c>
      <c r="AA40" s="19" t="s">
        <v>569</v>
      </c>
      <c r="AB40" s="321"/>
      <c r="AC40" s="318">
        <v>41956</v>
      </c>
      <c r="AD40" s="158"/>
      <c r="AE40" s="158"/>
      <c r="AF40" s="158"/>
      <c r="AG40" s="158" t="s">
        <v>1061</v>
      </c>
      <c r="AH40" s="158"/>
      <c r="AI40" s="158"/>
      <c r="AJ40" s="158"/>
      <c r="AK40" s="279"/>
    </row>
    <row r="41" spans="1:37" s="35" customFormat="1" x14ac:dyDescent="0.2">
      <c r="A41" s="306" t="s">
        <v>591</v>
      </c>
      <c r="B41" s="313"/>
      <c r="C41" s="8" t="s">
        <v>113</v>
      </c>
      <c r="D41" s="8"/>
      <c r="E41" s="8" t="s">
        <v>325</v>
      </c>
      <c r="F41" s="8" t="s">
        <v>959</v>
      </c>
      <c r="G41" s="10" t="s">
        <v>56</v>
      </c>
      <c r="H41" s="8" t="s">
        <v>88</v>
      </c>
      <c r="I41" s="10"/>
      <c r="J41" s="10"/>
      <c r="K41" s="10" t="s">
        <v>524</v>
      </c>
      <c r="L41" s="94">
        <v>384</v>
      </c>
      <c r="M41" s="94"/>
      <c r="N41" s="20" t="s">
        <v>541</v>
      </c>
      <c r="O41" s="21">
        <v>42591</v>
      </c>
      <c r="P41" s="20" t="s">
        <v>541</v>
      </c>
      <c r="Q41" s="21">
        <v>41754</v>
      </c>
      <c r="R41" s="20" t="s">
        <v>541</v>
      </c>
      <c r="S41" s="21">
        <v>41956</v>
      </c>
      <c r="T41" s="10"/>
      <c r="U41" s="10"/>
      <c r="V41" s="10"/>
      <c r="W41" s="10"/>
      <c r="X41" s="89" t="s">
        <v>989</v>
      </c>
      <c r="Y41" s="89" t="s">
        <v>807</v>
      </c>
      <c r="Z41" s="90">
        <v>41963</v>
      </c>
      <c r="AA41" s="19" t="s">
        <v>569</v>
      </c>
      <c r="AB41" s="321"/>
      <c r="AC41" s="319">
        <v>41956</v>
      </c>
      <c r="AD41" s="158"/>
      <c r="AE41" s="158"/>
      <c r="AF41" s="158"/>
      <c r="AG41" s="158" t="s">
        <v>1061</v>
      </c>
      <c r="AH41" s="158"/>
      <c r="AI41" s="158"/>
      <c r="AJ41" s="158"/>
      <c r="AK41" s="279"/>
    </row>
    <row r="42" spans="1:37" x14ac:dyDescent="0.2">
      <c r="A42" s="306" t="s">
        <v>650</v>
      </c>
      <c r="B42" s="313"/>
      <c r="C42" s="8" t="s">
        <v>113</v>
      </c>
      <c r="D42" s="8"/>
      <c r="E42" s="8" t="s">
        <v>325</v>
      </c>
      <c r="F42" s="8" t="s">
        <v>959</v>
      </c>
      <c r="G42" s="10" t="s">
        <v>66</v>
      </c>
      <c r="H42" s="8" t="s">
        <v>67</v>
      </c>
      <c r="I42" s="10"/>
      <c r="J42" s="10"/>
      <c r="K42" s="10" t="s">
        <v>651</v>
      </c>
      <c r="L42" s="94">
        <v>424</v>
      </c>
      <c r="M42" s="94"/>
      <c r="N42" s="20" t="s">
        <v>541</v>
      </c>
      <c r="O42" s="21">
        <v>42591</v>
      </c>
      <c r="P42" s="20" t="s">
        <v>541</v>
      </c>
      <c r="Q42" s="21">
        <v>41810</v>
      </c>
      <c r="R42" s="20" t="s">
        <v>541</v>
      </c>
      <c r="S42" s="21">
        <v>41948</v>
      </c>
      <c r="T42" s="10"/>
      <c r="U42" s="10"/>
      <c r="V42" s="10"/>
      <c r="W42" s="10"/>
      <c r="X42" s="89" t="s">
        <v>989</v>
      </c>
      <c r="Y42" s="89" t="s">
        <v>794</v>
      </c>
      <c r="Z42" s="90">
        <v>41963</v>
      </c>
      <c r="AA42" s="19" t="s">
        <v>569</v>
      </c>
      <c r="AB42" s="321"/>
      <c r="AC42" s="322">
        <v>41943</v>
      </c>
      <c r="AD42" s="158"/>
      <c r="AE42" s="158"/>
      <c r="AF42" s="158" t="s">
        <v>1061</v>
      </c>
      <c r="AG42" s="158"/>
      <c r="AH42" s="158"/>
      <c r="AI42" s="158"/>
      <c r="AJ42" s="158"/>
      <c r="AK42" s="279" t="s">
        <v>1061</v>
      </c>
    </row>
    <row r="43" spans="1:37" x14ac:dyDescent="0.2">
      <c r="A43" s="26" t="s">
        <v>194</v>
      </c>
      <c r="B43" s="314"/>
      <c r="C43" s="15" t="s">
        <v>114</v>
      </c>
      <c r="D43" s="15"/>
      <c r="E43" s="15" t="s">
        <v>182</v>
      </c>
      <c r="F43" s="15" t="s">
        <v>959</v>
      </c>
      <c r="G43" s="315" t="s">
        <v>61</v>
      </c>
      <c r="H43" s="19" t="s">
        <v>78</v>
      </c>
      <c r="I43" s="19"/>
      <c r="J43" s="19"/>
      <c r="K43" s="19" t="s">
        <v>219</v>
      </c>
      <c r="L43" s="94">
        <v>237</v>
      </c>
      <c r="M43" s="94"/>
      <c r="N43" s="22" t="s">
        <v>958</v>
      </c>
      <c r="O43" s="23">
        <v>42964</v>
      </c>
      <c r="P43" s="22" t="s">
        <v>958</v>
      </c>
      <c r="Q43" s="23">
        <v>42964</v>
      </c>
      <c r="R43" s="20" t="s">
        <v>958</v>
      </c>
      <c r="S43" s="21">
        <v>43031</v>
      </c>
      <c r="T43" s="22" t="s">
        <v>958</v>
      </c>
      <c r="U43" s="23">
        <v>42964</v>
      </c>
      <c r="V43" s="22" t="s">
        <v>958</v>
      </c>
      <c r="W43" s="23">
        <v>42964</v>
      </c>
      <c r="X43" s="130" t="s">
        <v>987</v>
      </c>
      <c r="Y43" s="132" t="s">
        <v>458</v>
      </c>
      <c r="Z43" s="133">
        <v>41198</v>
      </c>
      <c r="AA43" s="19" t="s">
        <v>570</v>
      </c>
      <c r="AB43" s="318">
        <v>42271</v>
      </c>
      <c r="AC43" s="318">
        <v>43005</v>
      </c>
      <c r="AD43" s="158" t="s">
        <v>1060</v>
      </c>
      <c r="AE43" s="174" t="s">
        <v>1061</v>
      </c>
      <c r="AF43" s="158" t="s">
        <v>1061</v>
      </c>
      <c r="AG43" s="158" t="s">
        <v>998</v>
      </c>
      <c r="AH43" s="158" t="s">
        <v>1061</v>
      </c>
      <c r="AI43" s="158" t="s">
        <v>998</v>
      </c>
      <c r="AJ43" s="158" t="s">
        <v>1061</v>
      </c>
      <c r="AK43" s="279" t="s">
        <v>998</v>
      </c>
    </row>
    <row r="44" spans="1:37" x14ac:dyDescent="0.2">
      <c r="A44" s="26" t="s">
        <v>195</v>
      </c>
      <c r="B44" s="314"/>
      <c r="C44" s="15" t="s">
        <v>112</v>
      </c>
      <c r="D44" s="15"/>
      <c r="E44" s="15" t="s">
        <v>184</v>
      </c>
      <c r="F44" s="15" t="s">
        <v>959</v>
      </c>
      <c r="G44" s="315" t="s">
        <v>61</v>
      </c>
      <c r="H44" s="19" t="s">
        <v>78</v>
      </c>
      <c r="I44" s="19"/>
      <c r="J44" s="19"/>
      <c r="K44" s="19" t="s">
        <v>218</v>
      </c>
      <c r="L44" s="94">
        <v>50</v>
      </c>
      <c r="M44" s="94"/>
      <c r="N44" s="20" t="s">
        <v>958</v>
      </c>
      <c r="O44" s="21">
        <v>42639</v>
      </c>
      <c r="P44" s="22" t="s">
        <v>958</v>
      </c>
      <c r="Q44" s="23">
        <v>42865</v>
      </c>
      <c r="R44" s="150" t="s">
        <v>217</v>
      </c>
      <c r="S44" s="151">
        <v>41046</v>
      </c>
      <c r="T44" s="22" t="s">
        <v>958</v>
      </c>
      <c r="U44" s="23">
        <v>42865</v>
      </c>
      <c r="V44" s="39"/>
      <c r="W44" s="40"/>
      <c r="X44" s="130" t="s">
        <v>987</v>
      </c>
      <c r="Y44" s="132" t="s">
        <v>458</v>
      </c>
      <c r="Z44" s="133">
        <v>41198</v>
      </c>
      <c r="AA44" s="19" t="s">
        <v>570</v>
      </c>
      <c r="AB44" s="318">
        <v>42621</v>
      </c>
      <c r="AC44" s="318">
        <v>43005</v>
      </c>
      <c r="AD44" s="158" t="s">
        <v>1061</v>
      </c>
      <c r="AE44" s="158" t="s">
        <v>998</v>
      </c>
      <c r="AF44" s="158" t="s">
        <v>1061</v>
      </c>
      <c r="AG44" s="158" t="s">
        <v>998</v>
      </c>
      <c r="AH44" s="158" t="s">
        <v>1061</v>
      </c>
      <c r="AI44" s="158" t="s">
        <v>998</v>
      </c>
      <c r="AJ44" s="158" t="s">
        <v>1061</v>
      </c>
      <c r="AK44" s="279" t="s">
        <v>998</v>
      </c>
    </row>
    <row r="45" spans="1:37" x14ac:dyDescent="0.2">
      <c r="A45" s="37" t="s">
        <v>49</v>
      </c>
      <c r="B45" s="10"/>
      <c r="C45" s="7" t="s">
        <v>114</v>
      </c>
      <c r="D45" s="10"/>
      <c r="E45" s="10" t="s">
        <v>182</v>
      </c>
      <c r="F45" s="10" t="s">
        <v>959</v>
      </c>
      <c r="G45" s="7" t="s">
        <v>56</v>
      </c>
      <c r="H45" s="7" t="s">
        <v>110</v>
      </c>
      <c r="I45" s="312"/>
      <c r="J45" s="7"/>
      <c r="K45" s="7" t="s">
        <v>111</v>
      </c>
      <c r="L45" s="93">
        <v>2000</v>
      </c>
      <c r="M45" s="93"/>
      <c r="N45" s="20" t="s">
        <v>625</v>
      </c>
      <c r="O45" s="21">
        <v>42441</v>
      </c>
      <c r="P45" s="20" t="s">
        <v>625</v>
      </c>
      <c r="Q45" s="21">
        <v>41730</v>
      </c>
      <c r="R45" s="20" t="s">
        <v>625</v>
      </c>
      <c r="S45" s="21">
        <v>41736</v>
      </c>
      <c r="T45" s="20" t="s">
        <v>625</v>
      </c>
      <c r="U45" s="21">
        <v>41730</v>
      </c>
      <c r="V45" s="20" t="s">
        <v>625</v>
      </c>
      <c r="W45" s="21">
        <v>41730</v>
      </c>
      <c r="X45" s="89" t="s">
        <v>989</v>
      </c>
      <c r="Y45" s="89" t="s">
        <v>48</v>
      </c>
      <c r="Z45" s="90">
        <v>40868</v>
      </c>
      <c r="AA45" s="19" t="s">
        <v>571</v>
      </c>
      <c r="AB45" s="318">
        <v>42306</v>
      </c>
      <c r="AC45" s="318">
        <v>42781</v>
      </c>
      <c r="AD45" s="158" t="s">
        <v>1060</v>
      </c>
      <c r="AE45" s="174" t="s">
        <v>1061</v>
      </c>
      <c r="AF45" s="158" t="s">
        <v>1061</v>
      </c>
      <c r="AG45" s="158" t="s">
        <v>998</v>
      </c>
      <c r="AH45" s="158" t="s">
        <v>1061</v>
      </c>
      <c r="AI45" s="158" t="s">
        <v>998</v>
      </c>
      <c r="AJ45" s="158" t="s">
        <v>1061</v>
      </c>
      <c r="AK45" s="279" t="s">
        <v>998</v>
      </c>
    </row>
    <row r="46" spans="1:37" s="35" customFormat="1" x14ac:dyDescent="0.2">
      <c r="A46" s="37" t="s">
        <v>612</v>
      </c>
      <c r="B46" s="10"/>
      <c r="C46" s="10" t="s">
        <v>113</v>
      </c>
      <c r="D46" s="10"/>
      <c r="E46" s="10" t="s">
        <v>182</v>
      </c>
      <c r="F46" s="10" t="s">
        <v>959</v>
      </c>
      <c r="G46" s="10" t="s">
        <v>56</v>
      </c>
      <c r="H46" s="10" t="s">
        <v>57</v>
      </c>
      <c r="I46" s="8"/>
      <c r="J46" s="10"/>
      <c r="K46" s="10" t="s">
        <v>58</v>
      </c>
      <c r="L46" s="93">
        <v>50</v>
      </c>
      <c r="M46" s="93"/>
      <c r="N46" s="20" t="s">
        <v>549</v>
      </c>
      <c r="O46" s="21">
        <v>42690</v>
      </c>
      <c r="P46" s="20" t="s">
        <v>549</v>
      </c>
      <c r="Q46" s="21">
        <v>41695</v>
      </c>
      <c r="R46" s="20" t="s">
        <v>549</v>
      </c>
      <c r="S46" s="21">
        <v>41782</v>
      </c>
      <c r="T46" s="10"/>
      <c r="U46" s="10"/>
      <c r="V46" s="10"/>
      <c r="W46" s="10"/>
      <c r="X46" s="89" t="s">
        <v>989</v>
      </c>
      <c r="Y46" s="100" t="s">
        <v>664</v>
      </c>
      <c r="Z46" s="90">
        <v>41785</v>
      </c>
      <c r="AA46" s="19" t="s">
        <v>572</v>
      </c>
      <c r="AB46" s="319">
        <v>42641</v>
      </c>
      <c r="AC46" s="320">
        <v>41901</v>
      </c>
      <c r="AD46" s="158" t="s">
        <v>1061</v>
      </c>
      <c r="AE46" s="158" t="s">
        <v>998</v>
      </c>
      <c r="AF46" s="158"/>
      <c r="AG46" s="158" t="s">
        <v>1061</v>
      </c>
      <c r="AH46" s="158"/>
      <c r="AI46" s="158"/>
      <c r="AJ46" s="158" t="s">
        <v>1060</v>
      </c>
      <c r="AK46" s="279"/>
    </row>
    <row r="47" spans="1:37" s="35" customFormat="1" x14ac:dyDescent="0.2">
      <c r="A47" s="307" t="s">
        <v>287</v>
      </c>
      <c r="B47" s="8"/>
      <c r="C47" s="8" t="s">
        <v>113</v>
      </c>
      <c r="D47" s="8" t="s">
        <v>977</v>
      </c>
      <c r="E47" s="8" t="s">
        <v>277</v>
      </c>
      <c r="F47" s="153" t="s">
        <v>975</v>
      </c>
      <c r="G47" s="7" t="s">
        <v>69</v>
      </c>
      <c r="H47" s="8"/>
      <c r="I47" s="8" t="s">
        <v>70</v>
      </c>
      <c r="J47" s="7" t="s">
        <v>288</v>
      </c>
      <c r="K47" s="10" t="s">
        <v>289</v>
      </c>
      <c r="L47" s="93">
        <v>154</v>
      </c>
      <c r="M47" s="93"/>
      <c r="N47" s="20" t="s">
        <v>1204</v>
      </c>
      <c r="O47" s="21">
        <v>42601</v>
      </c>
      <c r="P47" s="31" t="s">
        <v>1204</v>
      </c>
      <c r="Q47" s="32">
        <v>43025</v>
      </c>
      <c r="R47" s="150" t="s">
        <v>290</v>
      </c>
      <c r="S47" s="151">
        <v>41304</v>
      </c>
      <c r="T47" s="7"/>
      <c r="U47" s="7"/>
      <c r="V47" s="7"/>
      <c r="W47" s="7"/>
      <c r="X47" s="89" t="s">
        <v>989</v>
      </c>
      <c r="Y47" s="100" t="s">
        <v>635</v>
      </c>
      <c r="Z47" s="90">
        <v>41718</v>
      </c>
      <c r="AA47" s="19" t="s">
        <v>573</v>
      </c>
      <c r="AB47" s="318">
        <v>42600</v>
      </c>
      <c r="AC47" s="320">
        <v>42674</v>
      </c>
      <c r="AD47" s="158"/>
      <c r="AE47" s="158" t="s">
        <v>1060</v>
      </c>
      <c r="AF47" s="158"/>
      <c r="AG47" s="158"/>
      <c r="AH47" s="158" t="s">
        <v>1061</v>
      </c>
      <c r="AI47" s="158"/>
      <c r="AJ47" s="158" t="s">
        <v>998</v>
      </c>
      <c r="AK47" s="279"/>
    </row>
    <row r="48" spans="1:37" x14ac:dyDescent="0.2">
      <c r="A48" s="307" t="s">
        <v>532</v>
      </c>
      <c r="B48" s="8"/>
      <c r="C48" s="9" t="s">
        <v>112</v>
      </c>
      <c r="D48" s="9"/>
      <c r="E48" s="9" t="s">
        <v>227</v>
      </c>
      <c r="F48" s="9" t="s">
        <v>960</v>
      </c>
      <c r="G48" s="10" t="s">
        <v>346</v>
      </c>
      <c r="H48" s="8"/>
      <c r="I48" s="10" t="s">
        <v>533</v>
      </c>
      <c r="J48" s="10" t="s">
        <v>534</v>
      </c>
      <c r="K48" s="10" t="s">
        <v>535</v>
      </c>
      <c r="L48" s="95">
        <v>125</v>
      </c>
      <c r="M48" s="95"/>
      <c r="N48" s="20" t="s">
        <v>536</v>
      </c>
      <c r="O48" s="21">
        <v>42521</v>
      </c>
      <c r="P48" s="20" t="s">
        <v>511</v>
      </c>
      <c r="Q48" s="21">
        <v>41624</v>
      </c>
      <c r="R48" s="20" t="s">
        <v>536</v>
      </c>
      <c r="S48" s="21">
        <v>42847</v>
      </c>
      <c r="T48" s="20" t="s">
        <v>536</v>
      </c>
      <c r="U48" s="21">
        <v>41578</v>
      </c>
      <c r="V48" s="10"/>
      <c r="W48" s="10"/>
      <c r="X48" s="156" t="s">
        <v>988</v>
      </c>
      <c r="Y48" s="140" t="s">
        <v>663</v>
      </c>
      <c r="Z48" s="137">
        <v>41638</v>
      </c>
      <c r="AA48" s="19" t="s">
        <v>574</v>
      </c>
      <c r="AB48" s="319">
        <v>42230</v>
      </c>
      <c r="AC48" s="320">
        <v>43038</v>
      </c>
      <c r="AD48" s="158" t="s">
        <v>1060</v>
      </c>
      <c r="AE48" s="158"/>
      <c r="AF48" s="158" t="s">
        <v>1061</v>
      </c>
      <c r="AG48" s="158" t="s">
        <v>998</v>
      </c>
      <c r="AH48" s="158" t="s">
        <v>1061</v>
      </c>
      <c r="AI48" s="158"/>
      <c r="AJ48" s="158"/>
      <c r="AK48" s="279"/>
    </row>
    <row r="49" spans="1:37" x14ac:dyDescent="0.2">
      <c r="A49" s="307" t="s">
        <v>291</v>
      </c>
      <c r="B49" s="8"/>
      <c r="C49" s="8" t="s">
        <v>113</v>
      </c>
      <c r="D49" s="8"/>
      <c r="E49" s="8" t="s">
        <v>193</v>
      </c>
      <c r="F49" s="8" t="s">
        <v>973</v>
      </c>
      <c r="G49" s="7" t="s">
        <v>292</v>
      </c>
      <c r="H49" s="8" t="s">
        <v>293</v>
      </c>
      <c r="I49" s="8"/>
      <c r="J49" s="7"/>
      <c r="K49" s="8" t="s">
        <v>294</v>
      </c>
      <c r="L49" s="95">
        <v>279</v>
      </c>
      <c r="M49" s="95"/>
      <c r="N49" s="20" t="s">
        <v>1266</v>
      </c>
      <c r="O49" s="21">
        <v>42704</v>
      </c>
      <c r="P49" s="20" t="s">
        <v>464</v>
      </c>
      <c r="Q49" s="21">
        <v>41480</v>
      </c>
      <c r="R49" s="20" t="s">
        <v>1266</v>
      </c>
      <c r="S49" s="21">
        <v>42936</v>
      </c>
      <c r="T49" s="7"/>
      <c r="U49" s="7"/>
      <c r="V49" s="7"/>
      <c r="W49" s="7"/>
      <c r="X49" s="89" t="s">
        <v>989</v>
      </c>
      <c r="Y49" s="89" t="s">
        <v>830</v>
      </c>
      <c r="Z49" s="90">
        <v>42060</v>
      </c>
      <c r="AA49" s="19" t="s">
        <v>1267</v>
      </c>
      <c r="AB49" s="318">
        <v>42951</v>
      </c>
      <c r="AC49" s="320">
        <v>41662</v>
      </c>
      <c r="AD49" s="158" t="s">
        <v>1061</v>
      </c>
      <c r="AE49" s="158"/>
      <c r="AF49" s="244" t="s">
        <v>998</v>
      </c>
      <c r="AG49" s="158" t="s">
        <v>1061</v>
      </c>
      <c r="AH49" s="158"/>
      <c r="AI49" s="158"/>
      <c r="AJ49" s="158" t="s">
        <v>1061</v>
      </c>
      <c r="AK49" s="279"/>
    </row>
    <row r="50" spans="1:37" x14ac:dyDescent="0.2">
      <c r="A50" s="307" t="s">
        <v>127</v>
      </c>
      <c r="B50" s="8"/>
      <c r="C50" s="8" t="s">
        <v>113</v>
      </c>
      <c r="D50" s="8"/>
      <c r="E50" s="8" t="s">
        <v>193</v>
      </c>
      <c r="F50" s="8" t="s">
        <v>973</v>
      </c>
      <c r="G50" s="7" t="s">
        <v>56</v>
      </c>
      <c r="H50" s="8" t="s">
        <v>126</v>
      </c>
      <c r="I50" s="7"/>
      <c r="J50" s="7"/>
      <c r="K50" s="10" t="s">
        <v>391</v>
      </c>
      <c r="L50" s="93">
        <v>321</v>
      </c>
      <c r="M50" s="93"/>
      <c r="N50" s="20" t="s">
        <v>1213</v>
      </c>
      <c r="O50" s="21">
        <v>42632</v>
      </c>
      <c r="P50" s="20" t="s">
        <v>472</v>
      </c>
      <c r="Q50" s="21">
        <v>41333</v>
      </c>
      <c r="R50" s="22" t="s">
        <v>370</v>
      </c>
      <c r="S50" s="23">
        <v>42795</v>
      </c>
      <c r="T50" s="7"/>
      <c r="U50" s="7"/>
      <c r="V50" s="7"/>
      <c r="W50" s="7"/>
      <c r="X50" s="89" t="s">
        <v>989</v>
      </c>
      <c r="Y50" s="89" t="s">
        <v>834</v>
      </c>
      <c r="Z50" s="90">
        <v>41995</v>
      </c>
      <c r="AA50" s="19" t="s">
        <v>575</v>
      </c>
      <c r="AB50" s="318">
        <v>41808</v>
      </c>
      <c r="AC50" s="318">
        <v>42829</v>
      </c>
      <c r="AD50" s="158"/>
      <c r="AE50" s="158"/>
      <c r="AF50" s="158" t="s">
        <v>1061</v>
      </c>
      <c r="AG50" s="158"/>
      <c r="AH50" s="158" t="s">
        <v>998</v>
      </c>
      <c r="AI50" s="158" t="s">
        <v>1061</v>
      </c>
      <c r="AJ50" s="158"/>
      <c r="AK50" s="279"/>
    </row>
    <row r="51" spans="1:37" s="278" customFormat="1" x14ac:dyDescent="0.2">
      <c r="A51" s="281" t="s">
        <v>700</v>
      </c>
      <c r="B51" s="282" t="s">
        <v>1371</v>
      </c>
      <c r="C51" s="282" t="s">
        <v>113</v>
      </c>
      <c r="D51" s="282"/>
      <c r="E51" s="282" t="s">
        <v>182</v>
      </c>
      <c r="F51" s="282" t="s">
        <v>959</v>
      </c>
      <c r="G51" s="282" t="s">
        <v>75</v>
      </c>
      <c r="H51" s="282" t="s">
        <v>275</v>
      </c>
      <c r="I51" s="280"/>
      <c r="J51" s="282"/>
      <c r="K51" s="282" t="s">
        <v>332</v>
      </c>
      <c r="L51" s="282"/>
      <c r="M51" s="282"/>
      <c r="N51" s="282"/>
      <c r="O51" s="285"/>
      <c r="P51" s="282"/>
      <c r="Q51" s="285"/>
      <c r="R51" s="282"/>
      <c r="S51" s="282"/>
      <c r="T51" s="282"/>
      <c r="U51" s="282"/>
      <c r="V51" s="282"/>
      <c r="W51" s="282"/>
      <c r="X51" s="282" t="s">
        <v>990</v>
      </c>
      <c r="Y51" s="282"/>
      <c r="Z51" s="285"/>
      <c r="AA51" s="303"/>
      <c r="AB51" s="323">
        <v>39605</v>
      </c>
      <c r="AC51" s="324"/>
      <c r="AD51" s="268"/>
      <c r="AE51" s="268"/>
      <c r="AF51" s="268"/>
      <c r="AG51" s="268"/>
      <c r="AH51" s="268"/>
      <c r="AI51" s="268"/>
      <c r="AJ51" s="268"/>
      <c r="AK51" s="287"/>
    </row>
    <row r="52" spans="1:37" s="35" customFormat="1" x14ac:dyDescent="0.2">
      <c r="A52" s="307" t="s">
        <v>253</v>
      </c>
      <c r="B52" s="8"/>
      <c r="C52" s="8" t="s">
        <v>113</v>
      </c>
      <c r="D52" s="8"/>
      <c r="E52" s="8" t="s">
        <v>193</v>
      </c>
      <c r="F52" s="8" t="s">
        <v>973</v>
      </c>
      <c r="G52" s="7" t="s">
        <v>56</v>
      </c>
      <c r="H52" s="8"/>
      <c r="I52" s="8" t="s">
        <v>166</v>
      </c>
      <c r="J52" s="7" t="s">
        <v>128</v>
      </c>
      <c r="K52" s="10" t="s">
        <v>908</v>
      </c>
      <c r="L52" s="93">
        <v>387</v>
      </c>
      <c r="M52" s="93"/>
      <c r="N52" s="20" t="s">
        <v>909</v>
      </c>
      <c r="O52" s="21">
        <v>42171</v>
      </c>
      <c r="P52" s="20" t="s">
        <v>909</v>
      </c>
      <c r="Q52" s="21">
        <v>42468</v>
      </c>
      <c r="R52" s="29" t="s">
        <v>909</v>
      </c>
      <c r="S52" s="152">
        <v>42991</v>
      </c>
      <c r="T52" s="7"/>
      <c r="U52" s="7"/>
      <c r="V52" s="7"/>
      <c r="W52" s="7"/>
      <c r="X52" s="89" t="s">
        <v>989</v>
      </c>
      <c r="Y52" s="89" t="s">
        <v>843</v>
      </c>
      <c r="Z52" s="90">
        <v>42020</v>
      </c>
      <c r="AA52" s="19" t="s">
        <v>576</v>
      </c>
      <c r="AB52" s="318">
        <v>42131</v>
      </c>
      <c r="AC52" s="319">
        <v>42829</v>
      </c>
      <c r="AD52" s="158" t="s">
        <v>998</v>
      </c>
      <c r="AE52" s="158"/>
      <c r="AF52" s="158" t="s">
        <v>1061</v>
      </c>
      <c r="AG52" s="158"/>
      <c r="AH52" s="158"/>
      <c r="AI52" s="158" t="s">
        <v>1060</v>
      </c>
      <c r="AJ52" s="158"/>
      <c r="AK52" s="279"/>
    </row>
    <row r="53" spans="1:37" x14ac:dyDescent="0.2">
      <c r="A53" s="307" t="s">
        <v>701</v>
      </c>
      <c r="B53" s="8"/>
      <c r="C53" s="8" t="s">
        <v>113</v>
      </c>
      <c r="D53" s="8"/>
      <c r="E53" s="8" t="s">
        <v>193</v>
      </c>
      <c r="F53" s="8" t="s">
        <v>1340</v>
      </c>
      <c r="G53" s="10" t="s">
        <v>56</v>
      </c>
      <c r="H53" s="8"/>
      <c r="I53" s="8" t="s">
        <v>130</v>
      </c>
      <c r="J53" s="10" t="s">
        <v>134</v>
      </c>
      <c r="K53" s="10" t="s">
        <v>134</v>
      </c>
      <c r="L53" s="93">
        <v>106</v>
      </c>
      <c r="M53" s="93"/>
      <c r="N53" s="20" t="s">
        <v>1217</v>
      </c>
      <c r="O53" s="21">
        <v>42629</v>
      </c>
      <c r="P53" s="20" t="s">
        <v>703</v>
      </c>
      <c r="Q53" s="21">
        <v>41995</v>
      </c>
      <c r="R53" s="20" t="s">
        <v>703</v>
      </c>
      <c r="S53" s="21">
        <v>41989</v>
      </c>
      <c r="T53" s="10"/>
      <c r="U53" s="10"/>
      <c r="V53" s="10"/>
      <c r="W53" s="10"/>
      <c r="X53" s="89" t="s">
        <v>989</v>
      </c>
      <c r="Y53" s="89" t="s">
        <v>844</v>
      </c>
      <c r="Z53" s="90">
        <v>42024</v>
      </c>
      <c r="AA53" s="39" t="s">
        <v>702</v>
      </c>
      <c r="AB53" s="319">
        <v>42131</v>
      </c>
      <c r="AC53" s="318">
        <v>42954</v>
      </c>
      <c r="AD53" s="158" t="s">
        <v>998</v>
      </c>
      <c r="AE53" s="158"/>
      <c r="AF53" s="158" t="s">
        <v>1061</v>
      </c>
      <c r="AG53" s="158"/>
      <c r="AH53" s="158"/>
      <c r="AI53" s="158" t="s">
        <v>1060</v>
      </c>
      <c r="AJ53" s="158"/>
      <c r="AK53" s="279"/>
    </row>
    <row r="54" spans="1:37" ht="25.5" x14ac:dyDescent="0.2">
      <c r="A54" s="307" t="s">
        <v>678</v>
      </c>
      <c r="B54" s="8" t="s">
        <v>1441</v>
      </c>
      <c r="C54" s="8" t="s">
        <v>112</v>
      </c>
      <c r="D54" s="8"/>
      <c r="E54" s="8" t="s">
        <v>692</v>
      </c>
      <c r="F54" s="8" t="s">
        <v>961</v>
      </c>
      <c r="G54" s="10" t="s">
        <v>56</v>
      </c>
      <c r="H54" s="8" t="s">
        <v>57</v>
      </c>
      <c r="I54" s="8"/>
      <c r="J54" s="10"/>
      <c r="K54" s="10" t="s">
        <v>691</v>
      </c>
      <c r="L54" s="93">
        <v>11</v>
      </c>
      <c r="M54" s="93"/>
      <c r="N54" s="150" t="s">
        <v>679</v>
      </c>
      <c r="O54" s="151">
        <v>41864</v>
      </c>
      <c r="P54" s="20" t="s">
        <v>679</v>
      </c>
      <c r="Q54" s="21">
        <v>41963</v>
      </c>
      <c r="R54" s="20" t="s">
        <v>679</v>
      </c>
      <c r="S54" s="21">
        <v>41980</v>
      </c>
      <c r="T54" s="20" t="s">
        <v>679</v>
      </c>
      <c r="U54" s="21">
        <v>41988</v>
      </c>
      <c r="V54" s="10"/>
      <c r="W54" s="10"/>
      <c r="X54" s="130" t="s">
        <v>987</v>
      </c>
      <c r="Y54" s="130" t="s">
        <v>855</v>
      </c>
      <c r="Z54" s="131">
        <v>42025</v>
      </c>
      <c r="AA54" s="39" t="s">
        <v>680</v>
      </c>
      <c r="AB54" s="319">
        <v>42831</v>
      </c>
      <c r="AC54" s="318">
        <v>42257</v>
      </c>
      <c r="AD54" s="158" t="s">
        <v>1060</v>
      </c>
      <c r="AE54" s="158"/>
      <c r="AF54" s="244" t="s">
        <v>998</v>
      </c>
      <c r="AG54" s="158" t="s">
        <v>1061</v>
      </c>
      <c r="AH54" s="158"/>
      <c r="AI54" s="158" t="s">
        <v>998</v>
      </c>
      <c r="AJ54" s="158" t="s">
        <v>1061</v>
      </c>
      <c r="AK54" s="279"/>
    </row>
    <row r="55" spans="1:37" x14ac:dyDescent="0.2">
      <c r="A55" s="307" t="s">
        <v>1200</v>
      </c>
      <c r="B55" s="8"/>
      <c r="C55" s="8" t="s">
        <v>114</v>
      </c>
      <c r="D55" s="8"/>
      <c r="E55" s="8" t="s">
        <v>182</v>
      </c>
      <c r="F55" s="8" t="s">
        <v>975</v>
      </c>
      <c r="G55" s="10" t="s">
        <v>56</v>
      </c>
      <c r="H55" s="8" t="s">
        <v>110</v>
      </c>
      <c r="I55" s="8"/>
      <c r="J55" s="10"/>
      <c r="K55" s="10" t="s">
        <v>1203</v>
      </c>
      <c r="L55" s="93">
        <v>140</v>
      </c>
      <c r="M55" s="93"/>
      <c r="N55" s="20" t="s">
        <v>1202</v>
      </c>
      <c r="O55" s="21">
        <v>42612</v>
      </c>
      <c r="P55" s="20" t="s">
        <v>1202</v>
      </c>
      <c r="Q55" s="21">
        <v>42705</v>
      </c>
      <c r="R55" s="20" t="s">
        <v>1202</v>
      </c>
      <c r="S55" s="21">
        <v>42986</v>
      </c>
      <c r="T55" s="20" t="s">
        <v>1202</v>
      </c>
      <c r="U55" s="21">
        <v>42705</v>
      </c>
      <c r="V55" s="20" t="s">
        <v>1202</v>
      </c>
      <c r="W55" s="21">
        <v>42705</v>
      </c>
      <c r="X55" s="89" t="s">
        <v>989</v>
      </c>
      <c r="Y55" s="89" t="s">
        <v>1284</v>
      </c>
      <c r="Z55" s="90">
        <v>42719</v>
      </c>
      <c r="AA55" s="39" t="s">
        <v>1201</v>
      </c>
      <c r="AB55" s="319">
        <v>42698</v>
      </c>
      <c r="AC55" s="318">
        <v>42817</v>
      </c>
      <c r="AD55" s="158"/>
      <c r="AE55" s="158" t="s">
        <v>998</v>
      </c>
      <c r="AF55" s="158" t="s">
        <v>1061</v>
      </c>
      <c r="AG55" s="158" t="s">
        <v>998</v>
      </c>
      <c r="AH55" s="158" t="s">
        <v>1061</v>
      </c>
      <c r="AI55" s="158" t="s">
        <v>998</v>
      </c>
      <c r="AJ55" s="158" t="s">
        <v>1061</v>
      </c>
      <c r="AK55" s="279" t="s">
        <v>998</v>
      </c>
    </row>
    <row r="56" spans="1:37" x14ac:dyDescent="0.2">
      <c r="A56" s="37" t="s">
        <v>8</v>
      </c>
      <c r="B56" s="10"/>
      <c r="C56" s="7" t="s">
        <v>112</v>
      </c>
      <c r="D56" s="10"/>
      <c r="E56" s="10" t="s">
        <v>182</v>
      </c>
      <c r="F56" s="153" t="s">
        <v>975</v>
      </c>
      <c r="G56" s="7" t="s">
        <v>75</v>
      </c>
      <c r="H56" s="7" t="s">
        <v>76</v>
      </c>
      <c r="I56" s="312"/>
      <c r="J56" s="7"/>
      <c r="K56" s="7" t="s">
        <v>77</v>
      </c>
      <c r="L56" s="93">
        <v>128</v>
      </c>
      <c r="M56" s="93"/>
      <c r="N56" s="20" t="s">
        <v>502</v>
      </c>
      <c r="O56" s="21">
        <v>42938</v>
      </c>
      <c r="P56" s="20" t="s">
        <v>502</v>
      </c>
      <c r="Q56" s="21">
        <v>42969</v>
      </c>
      <c r="R56" s="20" t="s">
        <v>502</v>
      </c>
      <c r="S56" s="21">
        <v>42936</v>
      </c>
      <c r="T56" s="20" t="s">
        <v>502</v>
      </c>
      <c r="U56" s="21">
        <v>42938</v>
      </c>
      <c r="V56" s="7"/>
      <c r="W56" s="7"/>
      <c r="X56" s="89" t="s">
        <v>989</v>
      </c>
      <c r="Y56" s="89" t="s">
        <v>7</v>
      </c>
      <c r="Z56" s="90">
        <v>40877</v>
      </c>
      <c r="AA56" s="19" t="s">
        <v>577</v>
      </c>
      <c r="AB56" s="318">
        <v>42620</v>
      </c>
      <c r="AC56" s="318">
        <v>42845</v>
      </c>
      <c r="AD56" s="158" t="s">
        <v>1061</v>
      </c>
      <c r="AE56" s="158" t="s">
        <v>998</v>
      </c>
      <c r="AF56" s="158"/>
      <c r="AG56" s="158" t="s">
        <v>1061</v>
      </c>
      <c r="AH56" s="158" t="s">
        <v>998</v>
      </c>
      <c r="AI56" s="158"/>
      <c r="AJ56" s="158" t="s">
        <v>1061</v>
      </c>
      <c r="AK56" s="279"/>
    </row>
    <row r="57" spans="1:37" s="35" customFormat="1" x14ac:dyDescent="0.2">
      <c r="A57" s="307" t="s">
        <v>432</v>
      </c>
      <c r="B57" s="8"/>
      <c r="C57" s="8" t="s">
        <v>113</v>
      </c>
      <c r="D57" s="8"/>
      <c r="E57" s="8" t="s">
        <v>183</v>
      </c>
      <c r="F57" s="10" t="s">
        <v>972</v>
      </c>
      <c r="G57" s="10" t="s">
        <v>56</v>
      </c>
      <c r="H57" s="39" t="s">
        <v>88</v>
      </c>
      <c r="I57" s="8"/>
      <c r="J57" s="10"/>
      <c r="K57" s="10" t="s">
        <v>433</v>
      </c>
      <c r="L57" s="93">
        <v>500</v>
      </c>
      <c r="M57" s="93"/>
      <c r="N57" s="20" t="s">
        <v>1277</v>
      </c>
      <c r="O57" s="21">
        <v>42894</v>
      </c>
      <c r="P57" s="20" t="s">
        <v>1277</v>
      </c>
      <c r="Q57" s="21">
        <v>42969</v>
      </c>
      <c r="R57" s="20" t="s">
        <v>1277</v>
      </c>
      <c r="S57" s="21">
        <v>42958</v>
      </c>
      <c r="T57" s="10"/>
      <c r="U57" s="10"/>
      <c r="V57" s="10"/>
      <c r="W57" s="10"/>
      <c r="X57" s="89" t="s">
        <v>989</v>
      </c>
      <c r="Y57" s="89" t="s">
        <v>771</v>
      </c>
      <c r="Z57" s="90">
        <v>41954</v>
      </c>
      <c r="AA57" s="19" t="s">
        <v>578</v>
      </c>
      <c r="AB57" s="319">
        <v>42335</v>
      </c>
      <c r="AC57" s="319">
        <v>42837</v>
      </c>
      <c r="AD57" s="158" t="s">
        <v>1060</v>
      </c>
      <c r="AE57" s="158"/>
      <c r="AF57" s="158" t="s">
        <v>1061</v>
      </c>
      <c r="AG57" s="158" t="s">
        <v>998</v>
      </c>
      <c r="AH57" s="158"/>
      <c r="AI57" s="158" t="s">
        <v>1061</v>
      </c>
      <c r="AJ57" s="158"/>
      <c r="AK57" s="279"/>
    </row>
    <row r="58" spans="1:37" x14ac:dyDescent="0.2">
      <c r="A58" s="37" t="s">
        <v>45</v>
      </c>
      <c r="B58" s="10"/>
      <c r="C58" s="7" t="s">
        <v>112</v>
      </c>
      <c r="D58" s="10"/>
      <c r="E58" s="10" t="s">
        <v>183</v>
      </c>
      <c r="F58" s="10" t="s">
        <v>972</v>
      </c>
      <c r="G58" s="7" t="s">
        <v>56</v>
      </c>
      <c r="H58" s="7" t="s">
        <v>88</v>
      </c>
      <c r="I58" s="312"/>
      <c r="J58" s="7"/>
      <c r="K58" s="7" t="s">
        <v>106</v>
      </c>
      <c r="L58" s="93">
        <v>940</v>
      </c>
      <c r="M58" s="93"/>
      <c r="N58" s="20" t="s">
        <v>631</v>
      </c>
      <c r="O58" s="21">
        <v>42906</v>
      </c>
      <c r="P58" s="20" t="s">
        <v>631</v>
      </c>
      <c r="Q58" s="21">
        <v>41995</v>
      </c>
      <c r="R58" s="20" t="s">
        <v>631</v>
      </c>
      <c r="S58" s="21">
        <v>42010</v>
      </c>
      <c r="T58" s="20" t="s">
        <v>631</v>
      </c>
      <c r="U58" s="21">
        <v>41977</v>
      </c>
      <c r="V58" s="7"/>
      <c r="W58" s="7"/>
      <c r="X58" s="89" t="s">
        <v>989</v>
      </c>
      <c r="Y58" s="89" t="s">
        <v>44</v>
      </c>
      <c r="Z58" s="90">
        <v>40871</v>
      </c>
      <c r="AA58" s="19" t="s">
        <v>580</v>
      </c>
      <c r="AB58" s="318">
        <v>42879</v>
      </c>
      <c r="AC58" s="318">
        <v>42255</v>
      </c>
      <c r="AD58" s="158" t="s">
        <v>1061</v>
      </c>
      <c r="AE58" s="158"/>
      <c r="AF58" s="244" t="s">
        <v>998</v>
      </c>
      <c r="AG58" s="158" t="s">
        <v>1061</v>
      </c>
      <c r="AH58" s="158"/>
      <c r="AI58" s="158" t="s">
        <v>998</v>
      </c>
      <c r="AJ58" s="158" t="s">
        <v>1061</v>
      </c>
      <c r="AK58" s="279"/>
    </row>
    <row r="59" spans="1:37" x14ac:dyDescent="0.2">
      <c r="A59" s="37" t="s">
        <v>913</v>
      </c>
      <c r="B59" s="10"/>
      <c r="C59" s="7" t="s">
        <v>113</v>
      </c>
      <c r="D59" s="10"/>
      <c r="E59" s="10" t="s">
        <v>188</v>
      </c>
      <c r="F59" s="10" t="s">
        <v>967</v>
      </c>
      <c r="G59" s="7" t="s">
        <v>316</v>
      </c>
      <c r="H59" s="7"/>
      <c r="I59" s="312" t="s">
        <v>914</v>
      </c>
      <c r="J59" s="7" t="s">
        <v>317</v>
      </c>
      <c r="K59" s="7" t="s">
        <v>915</v>
      </c>
      <c r="L59" s="93">
        <v>362</v>
      </c>
      <c r="M59" s="93"/>
      <c r="N59" s="20" t="s">
        <v>916</v>
      </c>
      <c r="O59" s="21">
        <v>42541</v>
      </c>
      <c r="P59" s="20" t="s">
        <v>916</v>
      </c>
      <c r="Q59" s="21">
        <v>42292</v>
      </c>
      <c r="R59" s="20" t="s">
        <v>916</v>
      </c>
      <c r="S59" s="21">
        <v>42471</v>
      </c>
      <c r="T59" s="10"/>
      <c r="U59" s="38"/>
      <c r="V59" s="10"/>
      <c r="W59" s="10"/>
      <c r="X59" s="89" t="s">
        <v>989</v>
      </c>
      <c r="Y59" s="89" t="s">
        <v>1101</v>
      </c>
      <c r="Z59" s="90">
        <v>42475</v>
      </c>
      <c r="AA59" s="39" t="s">
        <v>1173</v>
      </c>
      <c r="AB59" s="318">
        <v>42256</v>
      </c>
      <c r="AC59" s="318">
        <v>42830</v>
      </c>
      <c r="AD59" s="158" t="s">
        <v>998</v>
      </c>
      <c r="AE59" s="174" t="s">
        <v>1061</v>
      </c>
      <c r="AF59" s="158" t="s">
        <v>1061</v>
      </c>
      <c r="AG59" s="158"/>
      <c r="AH59" s="158"/>
      <c r="AI59" s="158" t="s">
        <v>998</v>
      </c>
      <c r="AJ59" s="158"/>
      <c r="AK59" s="279" t="s">
        <v>1061</v>
      </c>
    </row>
    <row r="60" spans="1:37" s="35" customFormat="1" x14ac:dyDescent="0.2">
      <c r="A60" s="307" t="s">
        <v>1308</v>
      </c>
      <c r="B60" s="8" t="s">
        <v>1307</v>
      </c>
      <c r="C60" s="8" t="s">
        <v>113</v>
      </c>
      <c r="D60" s="8"/>
      <c r="E60" s="8" t="s">
        <v>325</v>
      </c>
      <c r="F60" s="8" t="s">
        <v>959</v>
      </c>
      <c r="G60" s="7" t="s">
        <v>69</v>
      </c>
      <c r="H60" s="8" t="s">
        <v>70</v>
      </c>
      <c r="I60" s="7"/>
      <c r="J60" s="7"/>
      <c r="K60" s="10" t="s">
        <v>354</v>
      </c>
      <c r="L60" s="93">
        <v>107</v>
      </c>
      <c r="M60" s="93"/>
      <c r="N60" s="20" t="s">
        <v>1301</v>
      </c>
      <c r="O60" s="21">
        <v>42782</v>
      </c>
      <c r="P60" s="20" t="s">
        <v>351</v>
      </c>
      <c r="Q60" s="21">
        <v>41260</v>
      </c>
      <c r="R60" s="20" t="s">
        <v>1301</v>
      </c>
      <c r="S60" s="21">
        <v>42989</v>
      </c>
      <c r="T60" s="7"/>
      <c r="U60" s="7"/>
      <c r="V60" s="7"/>
      <c r="W60" s="7"/>
      <c r="X60" s="89" t="s">
        <v>989</v>
      </c>
      <c r="Y60" s="100" t="s">
        <v>646</v>
      </c>
      <c r="Z60" s="90">
        <v>41743</v>
      </c>
      <c r="AA60" s="10" t="s">
        <v>1025</v>
      </c>
      <c r="AB60" s="325"/>
      <c r="AC60" s="320">
        <v>42811</v>
      </c>
      <c r="AD60" s="158"/>
      <c r="AE60" s="158"/>
      <c r="AF60" s="158" t="s">
        <v>1061</v>
      </c>
      <c r="AG60" s="158"/>
      <c r="AH60" s="158"/>
      <c r="AI60" s="158"/>
      <c r="AJ60" s="158"/>
      <c r="AK60" s="279" t="s">
        <v>1061</v>
      </c>
    </row>
    <row r="61" spans="1:37" s="35" customFormat="1" x14ac:dyDescent="0.2">
      <c r="A61" s="307" t="s">
        <v>1302</v>
      </c>
      <c r="B61" s="8" t="s">
        <v>1309</v>
      </c>
      <c r="C61" s="8" t="s">
        <v>113</v>
      </c>
      <c r="D61" s="8"/>
      <c r="E61" s="8" t="s">
        <v>325</v>
      </c>
      <c r="F61" s="8" t="s">
        <v>959</v>
      </c>
      <c r="G61" s="7" t="s">
        <v>66</v>
      </c>
      <c r="H61" s="8" t="s">
        <v>67</v>
      </c>
      <c r="I61" s="7"/>
      <c r="J61" s="7"/>
      <c r="K61" s="10" t="s">
        <v>355</v>
      </c>
      <c r="L61" s="93">
        <v>107</v>
      </c>
      <c r="M61" s="93"/>
      <c r="N61" s="20" t="s">
        <v>1301</v>
      </c>
      <c r="O61" s="21">
        <v>42782</v>
      </c>
      <c r="P61" s="20" t="s">
        <v>492</v>
      </c>
      <c r="Q61" s="21">
        <v>41436</v>
      </c>
      <c r="R61" s="20" t="s">
        <v>1301</v>
      </c>
      <c r="S61" s="21">
        <v>42989</v>
      </c>
      <c r="T61" s="7"/>
      <c r="U61" s="7"/>
      <c r="V61" s="7"/>
      <c r="W61" s="7"/>
      <c r="X61" s="89" t="s">
        <v>989</v>
      </c>
      <c r="Y61" s="100" t="s">
        <v>645</v>
      </c>
      <c r="Z61" s="90">
        <v>41743</v>
      </c>
      <c r="AA61" s="10" t="s">
        <v>1025</v>
      </c>
      <c r="AB61" s="325"/>
      <c r="AC61" s="320">
        <v>42776</v>
      </c>
      <c r="AD61" s="158"/>
      <c r="AE61" s="158"/>
      <c r="AF61" s="158" t="s">
        <v>1061</v>
      </c>
      <c r="AG61" s="158"/>
      <c r="AH61" s="158"/>
      <c r="AI61" s="158"/>
      <c r="AJ61" s="158"/>
      <c r="AK61" s="279" t="s">
        <v>1061</v>
      </c>
    </row>
    <row r="62" spans="1:37" s="35" customFormat="1" x14ac:dyDescent="0.2">
      <c r="A62" s="307" t="s">
        <v>1304</v>
      </c>
      <c r="B62" s="266" t="s">
        <v>1369</v>
      </c>
      <c r="C62" s="8" t="s">
        <v>113</v>
      </c>
      <c r="D62" s="8"/>
      <c r="E62" s="8" t="s">
        <v>325</v>
      </c>
      <c r="F62" s="8" t="s">
        <v>959</v>
      </c>
      <c r="G62" s="7" t="s">
        <v>56</v>
      </c>
      <c r="H62" s="8"/>
      <c r="I62" s="7" t="s">
        <v>172</v>
      </c>
      <c r="J62" s="7" t="s">
        <v>882</v>
      </c>
      <c r="K62" s="10" t="s">
        <v>883</v>
      </c>
      <c r="L62" s="93">
        <v>386</v>
      </c>
      <c r="M62" s="93"/>
      <c r="N62" s="20" t="s">
        <v>1301</v>
      </c>
      <c r="O62" s="21">
        <v>42782</v>
      </c>
      <c r="P62" s="20" t="s">
        <v>688</v>
      </c>
      <c r="Q62" s="21">
        <v>42505</v>
      </c>
      <c r="R62" s="20" t="s">
        <v>1377</v>
      </c>
      <c r="S62" s="21">
        <v>42947</v>
      </c>
      <c r="T62" s="10"/>
      <c r="U62" s="10"/>
      <c r="V62" s="10"/>
      <c r="W62" s="10"/>
      <c r="X62" s="89" t="s">
        <v>989</v>
      </c>
      <c r="Y62" s="100" t="s">
        <v>1378</v>
      </c>
      <c r="Z62" s="90">
        <v>42949</v>
      </c>
      <c r="AA62" s="19" t="s">
        <v>1025</v>
      </c>
      <c r="AB62" s="318"/>
      <c r="AC62" s="326"/>
      <c r="AD62" s="158"/>
      <c r="AE62" s="174" t="s">
        <v>1061</v>
      </c>
      <c r="AF62" s="158" t="s">
        <v>1061</v>
      </c>
      <c r="AG62" s="158"/>
      <c r="AH62" s="158"/>
      <c r="AI62" s="158"/>
      <c r="AJ62" s="158"/>
      <c r="AK62" s="279" t="s">
        <v>1061</v>
      </c>
    </row>
    <row r="63" spans="1:37" x14ac:dyDescent="0.2">
      <c r="A63" s="307" t="s">
        <v>1305</v>
      </c>
      <c r="B63" s="266" t="s">
        <v>1370</v>
      </c>
      <c r="C63" s="8" t="s">
        <v>113</v>
      </c>
      <c r="D63" s="8"/>
      <c r="E63" s="8" t="s">
        <v>325</v>
      </c>
      <c r="F63" s="8" t="s">
        <v>959</v>
      </c>
      <c r="G63" s="7" t="s">
        <v>61</v>
      </c>
      <c r="H63" s="8"/>
      <c r="I63" s="7"/>
      <c r="J63" s="7"/>
      <c r="K63" s="10" t="s">
        <v>1016</v>
      </c>
      <c r="L63" s="93">
        <v>386</v>
      </c>
      <c r="M63" s="93"/>
      <c r="N63" s="20" t="s">
        <v>1301</v>
      </c>
      <c r="O63" s="21">
        <v>42782</v>
      </c>
      <c r="P63" s="20" t="s">
        <v>688</v>
      </c>
      <c r="Q63" s="21">
        <v>42461</v>
      </c>
      <c r="R63" s="20" t="s">
        <v>1363</v>
      </c>
      <c r="S63" s="21">
        <v>42908</v>
      </c>
      <c r="T63" s="10"/>
      <c r="U63" s="10"/>
      <c r="V63" s="10"/>
      <c r="W63" s="10"/>
      <c r="X63" s="89" t="s">
        <v>989</v>
      </c>
      <c r="Y63" s="100" t="s">
        <v>1379</v>
      </c>
      <c r="Z63" s="90">
        <v>42949</v>
      </c>
      <c r="AA63" s="19" t="s">
        <v>1025</v>
      </c>
      <c r="AB63" s="318"/>
      <c r="AC63" s="318">
        <v>42751</v>
      </c>
      <c r="AD63" s="158"/>
      <c r="AE63" s="174" t="s">
        <v>1061</v>
      </c>
      <c r="AF63" s="158" t="s">
        <v>1061</v>
      </c>
      <c r="AG63" s="158"/>
      <c r="AH63" s="158"/>
      <c r="AI63" s="158"/>
      <c r="AJ63" s="158"/>
      <c r="AK63" s="279" t="s">
        <v>1061</v>
      </c>
    </row>
    <row r="64" spans="1:37" x14ac:dyDescent="0.2">
      <c r="A64" s="307" t="s">
        <v>1306</v>
      </c>
      <c r="B64" s="266" t="s">
        <v>1369</v>
      </c>
      <c r="C64" s="8" t="s">
        <v>113</v>
      </c>
      <c r="D64" s="8"/>
      <c r="E64" s="8" t="s">
        <v>325</v>
      </c>
      <c r="F64" s="8" t="s">
        <v>959</v>
      </c>
      <c r="G64" s="10" t="s">
        <v>69</v>
      </c>
      <c r="H64" s="8"/>
      <c r="I64" s="10" t="s">
        <v>70</v>
      </c>
      <c r="J64" s="10" t="s">
        <v>686</v>
      </c>
      <c r="K64" s="10" t="s">
        <v>687</v>
      </c>
      <c r="L64" s="93">
        <v>386</v>
      </c>
      <c r="M64" s="93"/>
      <c r="N64" s="20" t="s">
        <v>1301</v>
      </c>
      <c r="O64" s="21">
        <v>42782</v>
      </c>
      <c r="P64" s="20" t="s">
        <v>688</v>
      </c>
      <c r="Q64" s="21">
        <v>42068</v>
      </c>
      <c r="R64" s="20" t="s">
        <v>1301</v>
      </c>
      <c r="S64" s="21">
        <v>42989</v>
      </c>
      <c r="T64" s="10"/>
      <c r="U64" s="10"/>
      <c r="V64" s="10"/>
      <c r="W64" s="10"/>
      <c r="X64" s="89" t="s">
        <v>989</v>
      </c>
      <c r="Y64" s="100" t="s">
        <v>1380</v>
      </c>
      <c r="Z64" s="90">
        <v>42949</v>
      </c>
      <c r="AA64" s="19" t="s">
        <v>1025</v>
      </c>
      <c r="AB64" s="319"/>
      <c r="AC64" s="318">
        <v>42143</v>
      </c>
      <c r="AD64" s="158" t="s">
        <v>1061</v>
      </c>
      <c r="AE64" s="158"/>
      <c r="AF64" s="158"/>
      <c r="AG64" s="158"/>
      <c r="AH64" s="158"/>
      <c r="AI64" s="158" t="s">
        <v>1061</v>
      </c>
      <c r="AJ64" s="158"/>
      <c r="AK64" s="279"/>
    </row>
    <row r="65" spans="1:37" x14ac:dyDescent="0.2">
      <c r="A65" s="307" t="s">
        <v>1303</v>
      </c>
      <c r="B65" s="8" t="s">
        <v>1309</v>
      </c>
      <c r="C65" s="8" t="s">
        <v>113</v>
      </c>
      <c r="D65" s="8"/>
      <c r="E65" s="8" t="s">
        <v>325</v>
      </c>
      <c r="F65" s="8" t="s">
        <v>959</v>
      </c>
      <c r="G65" s="7" t="s">
        <v>72</v>
      </c>
      <c r="H65" s="8" t="s">
        <v>73</v>
      </c>
      <c r="I65" s="7"/>
      <c r="J65" s="7"/>
      <c r="K65" s="10" t="s">
        <v>352</v>
      </c>
      <c r="L65" s="93">
        <v>107</v>
      </c>
      <c r="M65" s="93"/>
      <c r="N65" s="20" t="s">
        <v>1301</v>
      </c>
      <c r="O65" s="21">
        <v>42782</v>
      </c>
      <c r="P65" s="20" t="s">
        <v>492</v>
      </c>
      <c r="Q65" s="21">
        <v>41436</v>
      </c>
      <c r="R65" s="22" t="s">
        <v>1301</v>
      </c>
      <c r="S65" s="23">
        <v>42914</v>
      </c>
      <c r="T65" s="7"/>
      <c r="U65" s="7"/>
      <c r="V65" s="7"/>
      <c r="W65" s="7"/>
      <c r="X65" s="89" t="s">
        <v>989</v>
      </c>
      <c r="Y65" s="100" t="s">
        <v>649</v>
      </c>
      <c r="Z65" s="90">
        <v>41743</v>
      </c>
      <c r="AA65" s="10" t="s">
        <v>1025</v>
      </c>
      <c r="AB65" s="325"/>
      <c r="AC65" s="320">
        <v>42851</v>
      </c>
      <c r="AD65" s="158"/>
      <c r="AE65" s="158"/>
      <c r="AF65" s="158" t="s">
        <v>1061</v>
      </c>
      <c r="AG65" s="158"/>
      <c r="AH65" s="158"/>
      <c r="AI65" s="158"/>
      <c r="AJ65" s="158"/>
      <c r="AK65" s="279" t="s">
        <v>1061</v>
      </c>
    </row>
    <row r="66" spans="1:37" x14ac:dyDescent="0.2">
      <c r="A66" s="307" t="s">
        <v>1310</v>
      </c>
      <c r="B66" s="8" t="s">
        <v>1309</v>
      </c>
      <c r="C66" s="8" t="s">
        <v>113</v>
      </c>
      <c r="D66" s="8"/>
      <c r="E66" s="8" t="s">
        <v>325</v>
      </c>
      <c r="F66" s="8" t="s">
        <v>959</v>
      </c>
      <c r="G66" s="7" t="s">
        <v>56</v>
      </c>
      <c r="H66" s="8" t="s">
        <v>126</v>
      </c>
      <c r="I66" s="7"/>
      <c r="J66" s="7"/>
      <c r="K66" s="10" t="s">
        <v>353</v>
      </c>
      <c r="L66" s="93">
        <v>107</v>
      </c>
      <c r="M66" s="93"/>
      <c r="N66" s="20" t="s">
        <v>1301</v>
      </c>
      <c r="O66" s="21">
        <v>42782</v>
      </c>
      <c r="P66" s="20" t="s">
        <v>492</v>
      </c>
      <c r="Q66" s="21">
        <v>41408</v>
      </c>
      <c r="R66" s="150" t="s">
        <v>492</v>
      </c>
      <c r="S66" s="151">
        <v>41535</v>
      </c>
      <c r="T66" s="7"/>
      <c r="U66" s="7"/>
      <c r="V66" s="7"/>
      <c r="W66" s="7"/>
      <c r="X66" s="89" t="s">
        <v>989</v>
      </c>
      <c r="Y66" s="100" t="s">
        <v>648</v>
      </c>
      <c r="Z66" s="90">
        <v>41743</v>
      </c>
      <c r="AA66" s="10" t="s">
        <v>1025</v>
      </c>
      <c r="AB66" s="325"/>
      <c r="AC66" s="318">
        <v>42970</v>
      </c>
      <c r="AD66" s="158"/>
      <c r="AE66" s="158"/>
      <c r="AF66" s="158" t="s">
        <v>1061</v>
      </c>
      <c r="AG66" s="158"/>
      <c r="AH66" s="158"/>
      <c r="AI66" s="158"/>
      <c r="AJ66" s="158"/>
      <c r="AK66" s="279" t="s">
        <v>1061</v>
      </c>
    </row>
    <row r="67" spans="1:37" x14ac:dyDescent="0.2">
      <c r="A67" s="307" t="s">
        <v>1311</v>
      </c>
      <c r="B67" s="8" t="s">
        <v>1307</v>
      </c>
      <c r="C67" s="8" t="s">
        <v>113</v>
      </c>
      <c r="D67" s="8"/>
      <c r="E67" s="8" t="s">
        <v>325</v>
      </c>
      <c r="F67" s="8" t="s">
        <v>959</v>
      </c>
      <c r="G67" s="7" t="s">
        <v>56</v>
      </c>
      <c r="H67" s="8" t="s">
        <v>126</v>
      </c>
      <c r="I67" s="7"/>
      <c r="J67" s="7"/>
      <c r="K67" s="10" t="s">
        <v>158</v>
      </c>
      <c r="L67" s="93">
        <v>107</v>
      </c>
      <c r="M67" s="93"/>
      <c r="N67" s="20" t="s">
        <v>1301</v>
      </c>
      <c r="O67" s="21">
        <v>42782</v>
      </c>
      <c r="P67" s="20" t="s">
        <v>492</v>
      </c>
      <c r="Q67" s="21">
        <v>41408</v>
      </c>
      <c r="R67" s="20" t="s">
        <v>1301</v>
      </c>
      <c r="S67" s="21">
        <v>43026</v>
      </c>
      <c r="T67" s="7"/>
      <c r="U67" s="7"/>
      <c r="V67" s="7"/>
      <c r="W67" s="7"/>
      <c r="X67" s="89" t="s">
        <v>989</v>
      </c>
      <c r="Y67" s="100" t="s">
        <v>647</v>
      </c>
      <c r="Z67" s="90">
        <v>41743</v>
      </c>
      <c r="AA67" s="10" t="s">
        <v>1025</v>
      </c>
      <c r="AB67" s="325"/>
      <c r="AC67" s="318">
        <v>42984</v>
      </c>
      <c r="AD67" s="158"/>
      <c r="AE67" s="158"/>
      <c r="AF67" s="158" t="s">
        <v>1061</v>
      </c>
      <c r="AG67" s="158"/>
      <c r="AH67" s="158"/>
      <c r="AI67" s="158"/>
      <c r="AJ67" s="158"/>
      <c r="AK67" s="279" t="s">
        <v>1061</v>
      </c>
    </row>
    <row r="68" spans="1:37" s="35" customFormat="1" x14ac:dyDescent="0.2">
      <c r="A68" s="37" t="s">
        <v>43</v>
      </c>
      <c r="B68" s="10"/>
      <c r="C68" s="7" t="s">
        <v>114</v>
      </c>
      <c r="D68" s="10"/>
      <c r="E68" s="10" t="s">
        <v>183</v>
      </c>
      <c r="F68" s="10" t="s">
        <v>972</v>
      </c>
      <c r="G68" s="7" t="s">
        <v>56</v>
      </c>
      <c r="H68" s="7"/>
      <c r="I68" s="312" t="s">
        <v>170</v>
      </c>
      <c r="J68" s="7" t="s">
        <v>64</v>
      </c>
      <c r="K68" s="7" t="s">
        <v>105</v>
      </c>
      <c r="L68" s="93">
        <v>2843</v>
      </c>
      <c r="M68" s="93"/>
      <c r="N68" s="20" t="s">
        <v>1100</v>
      </c>
      <c r="O68" s="21">
        <v>42733</v>
      </c>
      <c r="P68" s="20" t="s">
        <v>1100</v>
      </c>
      <c r="Q68" s="21">
        <v>42786</v>
      </c>
      <c r="R68" s="20" t="s">
        <v>552</v>
      </c>
      <c r="S68" s="21">
        <v>41757</v>
      </c>
      <c r="T68" s="20" t="s">
        <v>1100</v>
      </c>
      <c r="U68" s="21">
        <v>42786</v>
      </c>
      <c r="V68" s="20" t="s">
        <v>1100</v>
      </c>
      <c r="W68" s="21">
        <v>42786</v>
      </c>
      <c r="X68" s="89" t="s">
        <v>989</v>
      </c>
      <c r="Y68" s="89" t="s">
        <v>42</v>
      </c>
      <c r="Z68" s="90">
        <v>40871</v>
      </c>
      <c r="AA68" s="19" t="s">
        <v>581</v>
      </c>
      <c r="AB68" s="318">
        <v>42718</v>
      </c>
      <c r="AC68" s="319">
        <v>42986</v>
      </c>
      <c r="AD68" s="158" t="s">
        <v>1061</v>
      </c>
      <c r="AE68" s="158" t="s">
        <v>998</v>
      </c>
      <c r="AF68" s="158" t="s">
        <v>1061</v>
      </c>
      <c r="AG68" s="158" t="s">
        <v>998</v>
      </c>
      <c r="AH68" s="158" t="s">
        <v>1061</v>
      </c>
      <c r="AI68" s="158" t="s">
        <v>998</v>
      </c>
      <c r="AJ68" s="158" t="s">
        <v>1061</v>
      </c>
      <c r="AK68" s="279" t="s">
        <v>998</v>
      </c>
    </row>
    <row r="69" spans="1:37" s="35" customFormat="1" x14ac:dyDescent="0.2">
      <c r="A69" s="277" t="s">
        <v>1099</v>
      </c>
      <c r="B69" s="10"/>
      <c r="C69" s="7" t="s">
        <v>114</v>
      </c>
      <c r="D69" s="10"/>
      <c r="E69" s="10" t="s">
        <v>182</v>
      </c>
      <c r="F69" s="10" t="s">
        <v>970</v>
      </c>
      <c r="G69" s="7" t="s">
        <v>61</v>
      </c>
      <c r="H69" s="7" t="s">
        <v>78</v>
      </c>
      <c r="I69" s="312"/>
      <c r="J69" s="7"/>
      <c r="K69" s="7" t="s">
        <v>83</v>
      </c>
      <c r="L69" s="93">
        <v>4300</v>
      </c>
      <c r="M69" s="93"/>
      <c r="N69" s="20" t="s">
        <v>1100</v>
      </c>
      <c r="O69" s="21">
        <v>42505</v>
      </c>
      <c r="P69" s="20" t="s">
        <v>1100</v>
      </c>
      <c r="Q69" s="21">
        <v>42591</v>
      </c>
      <c r="R69" s="20" t="s">
        <v>1100</v>
      </c>
      <c r="S69" s="21">
        <v>42808</v>
      </c>
      <c r="T69" s="20" t="s">
        <v>1100</v>
      </c>
      <c r="U69" s="21">
        <v>42591</v>
      </c>
      <c r="V69" s="20" t="s">
        <v>1100</v>
      </c>
      <c r="W69" s="21">
        <v>42591</v>
      </c>
      <c r="X69" s="89" t="s">
        <v>989</v>
      </c>
      <c r="Y69" s="89" t="s">
        <v>1335</v>
      </c>
      <c r="Z69" s="90">
        <v>42814</v>
      </c>
      <c r="AA69" s="19" t="s">
        <v>579</v>
      </c>
      <c r="AB69" s="318">
        <v>42621</v>
      </c>
      <c r="AC69" s="319">
        <v>43005</v>
      </c>
      <c r="AD69" s="158" t="s">
        <v>1061</v>
      </c>
      <c r="AE69" s="158" t="s">
        <v>998</v>
      </c>
      <c r="AF69" s="158" t="s">
        <v>1061</v>
      </c>
      <c r="AG69" s="158" t="s">
        <v>1061</v>
      </c>
      <c r="AH69" s="158" t="s">
        <v>998</v>
      </c>
      <c r="AI69" s="158" t="s">
        <v>1061</v>
      </c>
      <c r="AJ69" s="158" t="s">
        <v>998</v>
      </c>
      <c r="AK69" s="279" t="s">
        <v>1061</v>
      </c>
    </row>
    <row r="70" spans="1:37" s="35" customFormat="1" x14ac:dyDescent="0.2">
      <c r="A70" s="37" t="s">
        <v>41</v>
      </c>
      <c r="B70" s="10"/>
      <c r="C70" s="7" t="s">
        <v>114</v>
      </c>
      <c r="D70" s="10"/>
      <c r="E70" s="10" t="s">
        <v>182</v>
      </c>
      <c r="F70" s="10" t="s">
        <v>959</v>
      </c>
      <c r="G70" s="7" t="s">
        <v>56</v>
      </c>
      <c r="H70" s="7" t="s">
        <v>88</v>
      </c>
      <c r="I70" s="312"/>
      <c r="J70" s="7"/>
      <c r="K70" s="7" t="s">
        <v>104</v>
      </c>
      <c r="L70" s="93">
        <v>94</v>
      </c>
      <c r="M70" s="93"/>
      <c r="N70" s="20" t="s">
        <v>1178</v>
      </c>
      <c r="O70" s="21">
        <v>42782</v>
      </c>
      <c r="P70" s="20" t="s">
        <v>1178</v>
      </c>
      <c r="Q70" s="21">
        <v>42765</v>
      </c>
      <c r="R70" s="29" t="s">
        <v>1178</v>
      </c>
      <c r="S70" s="152">
        <v>42828</v>
      </c>
      <c r="T70" s="20" t="s">
        <v>1178</v>
      </c>
      <c r="U70" s="21">
        <v>42765</v>
      </c>
      <c r="V70" s="20" t="s">
        <v>1178</v>
      </c>
      <c r="W70" s="21">
        <v>42765</v>
      </c>
      <c r="X70" s="89" t="s">
        <v>989</v>
      </c>
      <c r="Y70" s="89" t="s">
        <v>40</v>
      </c>
      <c r="Z70" s="90">
        <v>40871</v>
      </c>
      <c r="AA70" s="19" t="s">
        <v>582</v>
      </c>
      <c r="AB70" s="319">
        <v>42675</v>
      </c>
      <c r="AC70" s="319">
        <v>42795</v>
      </c>
      <c r="AD70" s="158" t="s">
        <v>1061</v>
      </c>
      <c r="AE70" s="173" t="s">
        <v>1262</v>
      </c>
      <c r="AF70" s="158" t="s">
        <v>1061</v>
      </c>
      <c r="AG70" s="158" t="s">
        <v>998</v>
      </c>
      <c r="AH70" s="158" t="s">
        <v>1061</v>
      </c>
      <c r="AI70" s="158" t="s">
        <v>998</v>
      </c>
      <c r="AJ70" s="158" t="s">
        <v>1061</v>
      </c>
      <c r="AK70" s="279" t="s">
        <v>998</v>
      </c>
    </row>
    <row r="71" spans="1:37" s="35" customFormat="1" x14ac:dyDescent="0.2">
      <c r="A71" s="37" t="s">
        <v>713</v>
      </c>
      <c r="B71" s="10"/>
      <c r="C71" s="7" t="s">
        <v>112</v>
      </c>
      <c r="D71" s="10" t="s">
        <v>977</v>
      </c>
      <c r="E71" s="10" t="s">
        <v>255</v>
      </c>
      <c r="F71" s="10" t="s">
        <v>963</v>
      </c>
      <c r="G71" s="7" t="s">
        <v>61</v>
      </c>
      <c r="H71" s="7" t="s">
        <v>235</v>
      </c>
      <c r="I71" s="312"/>
      <c r="J71" s="7"/>
      <c r="K71" s="7" t="s">
        <v>256</v>
      </c>
      <c r="L71" s="93">
        <v>500</v>
      </c>
      <c r="M71" s="93"/>
      <c r="N71" s="20" t="s">
        <v>1118</v>
      </c>
      <c r="O71" s="21">
        <v>42521</v>
      </c>
      <c r="P71" s="31" t="s">
        <v>419</v>
      </c>
      <c r="Q71" s="32">
        <v>43028</v>
      </c>
      <c r="R71" s="20" t="s">
        <v>951</v>
      </c>
      <c r="S71" s="21">
        <v>42732</v>
      </c>
      <c r="T71" s="20" t="s">
        <v>1118</v>
      </c>
      <c r="U71" s="21">
        <v>42711</v>
      </c>
      <c r="V71" s="7"/>
      <c r="W71" s="7"/>
      <c r="X71" s="130" t="s">
        <v>987</v>
      </c>
      <c r="Y71" s="130" t="s">
        <v>372</v>
      </c>
      <c r="Z71" s="131">
        <v>39353</v>
      </c>
      <c r="AA71" s="38" t="s">
        <v>837</v>
      </c>
      <c r="AB71" s="318">
        <v>42892</v>
      </c>
      <c r="AC71" s="318">
        <v>42985</v>
      </c>
      <c r="AD71" s="158" t="s">
        <v>1061</v>
      </c>
      <c r="AE71" s="174" t="s">
        <v>1061</v>
      </c>
      <c r="AF71" s="244" t="s">
        <v>998</v>
      </c>
      <c r="AG71" s="158" t="s">
        <v>1061</v>
      </c>
      <c r="AH71" s="158"/>
      <c r="AI71" s="158" t="s">
        <v>998</v>
      </c>
      <c r="AJ71" s="158" t="s">
        <v>1061</v>
      </c>
      <c r="AK71" s="279"/>
    </row>
    <row r="72" spans="1:37" s="35" customFormat="1" x14ac:dyDescent="0.2">
      <c r="A72" s="306" t="s">
        <v>296</v>
      </c>
      <c r="B72" s="313" t="s">
        <v>1272</v>
      </c>
      <c r="C72" s="8" t="s">
        <v>113</v>
      </c>
      <c r="D72" s="8" t="s">
        <v>977</v>
      </c>
      <c r="E72" s="8" t="s">
        <v>357</v>
      </c>
      <c r="F72" s="8" t="s">
        <v>971</v>
      </c>
      <c r="G72" s="7" t="s">
        <v>61</v>
      </c>
      <c r="H72" s="8" t="s">
        <v>78</v>
      </c>
      <c r="I72" s="7"/>
      <c r="J72" s="7"/>
      <c r="K72" s="10" t="s">
        <v>373</v>
      </c>
      <c r="L72" s="93">
        <v>500</v>
      </c>
      <c r="M72" s="93"/>
      <c r="N72" s="20" t="s">
        <v>1207</v>
      </c>
      <c r="O72" s="21">
        <v>42618</v>
      </c>
      <c r="P72" s="20" t="s">
        <v>491</v>
      </c>
      <c r="Q72" s="21">
        <v>41536</v>
      </c>
      <c r="R72" s="150" t="s">
        <v>491</v>
      </c>
      <c r="S72" s="151">
        <v>41576</v>
      </c>
      <c r="T72" s="7"/>
      <c r="U72" s="7"/>
      <c r="V72" s="7"/>
      <c r="W72" s="7"/>
      <c r="X72" s="130" t="s">
        <v>987</v>
      </c>
      <c r="Y72" s="130" t="s">
        <v>374</v>
      </c>
      <c r="Z72" s="131">
        <v>37939</v>
      </c>
      <c r="AA72" s="38" t="s">
        <v>1041</v>
      </c>
      <c r="AB72" s="318">
        <v>41795</v>
      </c>
      <c r="AC72" s="318">
        <v>42978</v>
      </c>
      <c r="AD72" s="158" t="s">
        <v>1061</v>
      </c>
      <c r="AE72" s="158"/>
      <c r="AF72" s="158"/>
      <c r="AG72" s="158" t="s">
        <v>1061</v>
      </c>
      <c r="AH72" s="158" t="s">
        <v>998</v>
      </c>
      <c r="AI72" s="158"/>
      <c r="AJ72" s="158" t="s">
        <v>1061</v>
      </c>
      <c r="AK72" s="279"/>
    </row>
    <row r="73" spans="1:37" x14ac:dyDescent="0.2">
      <c r="A73" s="37" t="s">
        <v>429</v>
      </c>
      <c r="B73" s="10"/>
      <c r="C73" s="7" t="s">
        <v>113</v>
      </c>
      <c r="D73" s="10"/>
      <c r="E73" s="10" t="s">
        <v>188</v>
      </c>
      <c r="F73" s="10" t="s">
        <v>969</v>
      </c>
      <c r="G73" s="7" t="s">
        <v>56</v>
      </c>
      <c r="H73" s="7" t="s">
        <v>57</v>
      </c>
      <c r="I73" s="312"/>
      <c r="J73" s="7"/>
      <c r="K73" s="7" t="s">
        <v>63</v>
      </c>
      <c r="L73" s="93">
        <v>116</v>
      </c>
      <c r="M73" s="93"/>
      <c r="N73" s="30" t="s">
        <v>1240</v>
      </c>
      <c r="O73" s="21">
        <v>42668</v>
      </c>
      <c r="P73" s="20" t="s">
        <v>519</v>
      </c>
      <c r="Q73" s="21">
        <v>41799</v>
      </c>
      <c r="R73" s="20" t="s">
        <v>519</v>
      </c>
      <c r="S73" s="21">
        <v>42836</v>
      </c>
      <c r="T73" s="7"/>
      <c r="U73" s="7"/>
      <c r="V73" s="7"/>
      <c r="W73" s="7"/>
      <c r="X73" s="89" t="s">
        <v>989</v>
      </c>
      <c r="Y73" s="89" t="s">
        <v>0</v>
      </c>
      <c r="Z73" s="90">
        <v>40899</v>
      </c>
      <c r="AA73" s="38" t="s">
        <v>1042</v>
      </c>
      <c r="AB73" s="318">
        <v>41410</v>
      </c>
      <c r="AC73" s="318">
        <v>42823</v>
      </c>
      <c r="AD73" s="158"/>
      <c r="AE73" s="158"/>
      <c r="AF73" s="158" t="s">
        <v>1061</v>
      </c>
      <c r="AG73" s="158" t="s">
        <v>998</v>
      </c>
      <c r="AH73" s="158"/>
      <c r="AI73" s="158" t="s">
        <v>1061</v>
      </c>
      <c r="AJ73" s="158"/>
      <c r="AK73" s="279" t="s">
        <v>998</v>
      </c>
    </row>
    <row r="74" spans="1:37" x14ac:dyDescent="0.2">
      <c r="A74" s="307" t="s">
        <v>278</v>
      </c>
      <c r="B74" s="8"/>
      <c r="C74" s="8" t="s">
        <v>113</v>
      </c>
      <c r="D74" s="8"/>
      <c r="E74" s="8" t="s">
        <v>193</v>
      </c>
      <c r="F74" s="8" t="s">
        <v>973</v>
      </c>
      <c r="G74" s="7" t="s">
        <v>72</v>
      </c>
      <c r="H74" s="8"/>
      <c r="I74" s="7" t="s">
        <v>279</v>
      </c>
      <c r="J74" s="7" t="s">
        <v>280</v>
      </c>
      <c r="K74" s="10" t="s">
        <v>1209</v>
      </c>
      <c r="L74" s="93">
        <v>627</v>
      </c>
      <c r="M74" s="93"/>
      <c r="N74" s="20" t="s">
        <v>1216</v>
      </c>
      <c r="O74" s="21">
        <v>43011</v>
      </c>
      <c r="P74" s="31" t="s">
        <v>401</v>
      </c>
      <c r="Q74" s="32">
        <v>43005</v>
      </c>
      <c r="R74" s="150" t="s">
        <v>401</v>
      </c>
      <c r="S74" s="151">
        <v>41583</v>
      </c>
      <c r="T74" s="7"/>
      <c r="U74" s="7"/>
      <c r="V74" s="7"/>
      <c r="W74" s="7"/>
      <c r="X74" s="89" t="s">
        <v>989</v>
      </c>
      <c r="Y74" s="89" t="s">
        <v>820</v>
      </c>
      <c r="Z74" s="90">
        <v>41978</v>
      </c>
      <c r="AA74" s="10" t="s">
        <v>1044</v>
      </c>
      <c r="AB74" s="318">
        <v>42984</v>
      </c>
      <c r="AC74" s="320">
        <v>41540</v>
      </c>
      <c r="AD74" s="158"/>
      <c r="AE74" s="174" t="s">
        <v>1061</v>
      </c>
      <c r="AF74" s="244" t="s">
        <v>998</v>
      </c>
      <c r="AG74" s="158" t="s">
        <v>1061</v>
      </c>
      <c r="AH74" s="158"/>
      <c r="AI74" s="158"/>
      <c r="AJ74" s="158" t="s">
        <v>1061</v>
      </c>
      <c r="AK74" s="279" t="s">
        <v>998</v>
      </c>
    </row>
    <row r="75" spans="1:37" x14ac:dyDescent="0.2">
      <c r="A75" s="307" t="s">
        <v>297</v>
      </c>
      <c r="B75" s="8"/>
      <c r="C75" s="8" t="s">
        <v>113</v>
      </c>
      <c r="D75" s="8"/>
      <c r="E75" s="8" t="s">
        <v>193</v>
      </c>
      <c r="F75" s="8" t="s">
        <v>973</v>
      </c>
      <c r="G75" s="7" t="s">
        <v>56</v>
      </c>
      <c r="H75" s="8" t="s">
        <v>110</v>
      </c>
      <c r="I75" s="7"/>
      <c r="J75" s="7"/>
      <c r="K75" s="10" t="s">
        <v>153</v>
      </c>
      <c r="L75" s="93">
        <v>212</v>
      </c>
      <c r="M75" s="93"/>
      <c r="N75" s="20" t="s">
        <v>1114</v>
      </c>
      <c r="O75" s="21">
        <v>42509</v>
      </c>
      <c r="P75" s="20" t="s">
        <v>358</v>
      </c>
      <c r="Q75" s="21">
        <v>41306</v>
      </c>
      <c r="R75" s="150" t="s">
        <v>358</v>
      </c>
      <c r="S75" s="151">
        <v>41319</v>
      </c>
      <c r="T75" s="7"/>
      <c r="U75" s="7"/>
      <c r="V75" s="7"/>
      <c r="W75" s="7"/>
      <c r="X75" s="89" t="s">
        <v>989</v>
      </c>
      <c r="Y75" s="100" t="s">
        <v>628</v>
      </c>
      <c r="Z75" s="90">
        <v>41710</v>
      </c>
      <c r="AA75" s="10" t="s">
        <v>1172</v>
      </c>
      <c r="AB75" s="318">
        <v>42474</v>
      </c>
      <c r="AC75" s="320">
        <v>43006</v>
      </c>
      <c r="AD75" s="158"/>
      <c r="AE75" s="158" t="s">
        <v>998</v>
      </c>
      <c r="AF75" s="158" t="s">
        <v>1061</v>
      </c>
      <c r="AG75" s="158"/>
      <c r="AH75" s="158"/>
      <c r="AI75" s="158" t="s">
        <v>1061</v>
      </c>
      <c r="AJ75" s="158" t="s">
        <v>998</v>
      </c>
      <c r="AK75" s="279"/>
    </row>
    <row r="76" spans="1:37" s="35" customFormat="1" x14ac:dyDescent="0.2">
      <c r="A76" s="307" t="s">
        <v>366</v>
      </c>
      <c r="B76" s="8"/>
      <c r="C76" s="8" t="s">
        <v>112</v>
      </c>
      <c r="D76" s="8"/>
      <c r="E76" s="8" t="s">
        <v>538</v>
      </c>
      <c r="F76" s="8" t="s">
        <v>962</v>
      </c>
      <c r="G76" s="10" t="s">
        <v>56</v>
      </c>
      <c r="H76" s="8"/>
      <c r="I76" s="10" t="s">
        <v>171</v>
      </c>
      <c r="J76" s="10" t="s">
        <v>367</v>
      </c>
      <c r="K76" s="10" t="s">
        <v>368</v>
      </c>
      <c r="L76" s="93">
        <v>100</v>
      </c>
      <c r="M76" s="93"/>
      <c r="N76" s="20" t="s">
        <v>1281</v>
      </c>
      <c r="O76" s="21">
        <v>42724</v>
      </c>
      <c r="P76" s="20" t="s">
        <v>396</v>
      </c>
      <c r="Q76" s="21">
        <v>41180</v>
      </c>
      <c r="R76" s="150" t="s">
        <v>396</v>
      </c>
      <c r="S76" s="151">
        <v>41410</v>
      </c>
      <c r="T76" s="20" t="s">
        <v>396</v>
      </c>
      <c r="U76" s="21">
        <v>41081</v>
      </c>
      <c r="V76" s="10"/>
      <c r="W76" s="10"/>
      <c r="X76" s="130" t="s">
        <v>987</v>
      </c>
      <c r="Y76" s="130" t="s">
        <v>457</v>
      </c>
      <c r="Z76" s="131">
        <v>41249</v>
      </c>
      <c r="AA76" s="38" t="s">
        <v>1002</v>
      </c>
      <c r="AB76" s="318">
        <v>42702</v>
      </c>
      <c r="AC76" s="320">
        <v>42156</v>
      </c>
      <c r="AD76" s="158" t="s">
        <v>1061</v>
      </c>
      <c r="AE76" s="158" t="s">
        <v>998</v>
      </c>
      <c r="AF76" s="158"/>
      <c r="AG76" s="158" t="s">
        <v>1061</v>
      </c>
      <c r="AH76" s="158" t="s">
        <v>998</v>
      </c>
      <c r="AI76" s="158"/>
      <c r="AJ76" s="158" t="s">
        <v>1061</v>
      </c>
      <c r="AK76" s="279" t="s">
        <v>998</v>
      </c>
    </row>
    <row r="77" spans="1:37" x14ac:dyDescent="0.2">
      <c r="A77" s="307" t="s">
        <v>555</v>
      </c>
      <c r="B77" s="8"/>
      <c r="C77" s="8" t="s">
        <v>112</v>
      </c>
      <c r="D77" s="8"/>
      <c r="E77" s="8" t="s">
        <v>188</v>
      </c>
      <c r="F77" s="8" t="s">
        <v>969</v>
      </c>
      <c r="G77" s="10" t="s">
        <v>61</v>
      </c>
      <c r="H77" s="8"/>
      <c r="I77" s="10" t="s">
        <v>62</v>
      </c>
      <c r="J77" s="10" t="s">
        <v>80</v>
      </c>
      <c r="K77" s="10" t="s">
        <v>395</v>
      </c>
      <c r="L77" s="93">
        <v>125</v>
      </c>
      <c r="M77" s="93"/>
      <c r="N77" s="20" t="s">
        <v>520</v>
      </c>
      <c r="O77" s="21">
        <v>42641</v>
      </c>
      <c r="P77" s="20" t="s">
        <v>520</v>
      </c>
      <c r="Q77" s="21">
        <v>41653</v>
      </c>
      <c r="R77" s="20" t="s">
        <v>520</v>
      </c>
      <c r="S77" s="21">
        <v>41669</v>
      </c>
      <c r="T77" s="20" t="s">
        <v>520</v>
      </c>
      <c r="U77" s="21">
        <v>41589</v>
      </c>
      <c r="V77" s="10"/>
      <c r="W77" s="10"/>
      <c r="X77" s="89" t="s">
        <v>989</v>
      </c>
      <c r="Y77" s="89" t="s">
        <v>615</v>
      </c>
      <c r="Z77" s="90">
        <v>41673</v>
      </c>
      <c r="AA77" s="10" t="s">
        <v>709</v>
      </c>
      <c r="AB77" s="319">
        <v>43025</v>
      </c>
      <c r="AC77" s="320">
        <v>42331</v>
      </c>
      <c r="AD77" s="158" t="s">
        <v>1061</v>
      </c>
      <c r="AE77" s="158"/>
      <c r="AF77" s="244" t="s">
        <v>998</v>
      </c>
      <c r="AG77" s="158" t="s">
        <v>1061</v>
      </c>
      <c r="AH77" s="158"/>
      <c r="AI77" s="158" t="s">
        <v>998</v>
      </c>
      <c r="AJ77" s="158" t="s">
        <v>1061</v>
      </c>
      <c r="AK77" s="279"/>
    </row>
    <row r="78" spans="1:37" x14ac:dyDescent="0.2">
      <c r="A78" s="307" t="s">
        <v>710</v>
      </c>
      <c r="B78" s="8"/>
      <c r="C78" s="8" t="s">
        <v>113</v>
      </c>
      <c r="D78" s="8"/>
      <c r="E78" s="8" t="s">
        <v>188</v>
      </c>
      <c r="F78" s="8" t="s">
        <v>969</v>
      </c>
      <c r="G78" s="10" t="s">
        <v>283</v>
      </c>
      <c r="H78" s="8"/>
      <c r="I78" s="10" t="s">
        <v>711</v>
      </c>
      <c r="J78" s="10" t="s">
        <v>711</v>
      </c>
      <c r="K78" s="10" t="s">
        <v>712</v>
      </c>
      <c r="L78" s="93">
        <v>61</v>
      </c>
      <c r="M78" s="93"/>
      <c r="N78" s="20" t="s">
        <v>520</v>
      </c>
      <c r="O78" s="21">
        <v>42641</v>
      </c>
      <c r="P78" s="20" t="s">
        <v>520</v>
      </c>
      <c r="Q78" s="21">
        <v>41978</v>
      </c>
      <c r="R78" s="20" t="s">
        <v>520</v>
      </c>
      <c r="S78" s="21">
        <v>42074</v>
      </c>
      <c r="T78" s="10"/>
      <c r="U78" s="38"/>
      <c r="V78" s="10"/>
      <c r="W78" s="10"/>
      <c r="X78" s="89" t="s">
        <v>989</v>
      </c>
      <c r="Y78" s="89" t="s">
        <v>862</v>
      </c>
      <c r="Z78" s="90">
        <v>42075</v>
      </c>
      <c r="AA78" s="10" t="s">
        <v>709</v>
      </c>
      <c r="AB78" s="319">
        <v>42082</v>
      </c>
      <c r="AC78" s="320">
        <v>42065</v>
      </c>
      <c r="AD78" s="158" t="s">
        <v>998</v>
      </c>
      <c r="AE78" s="158"/>
      <c r="AF78" s="158"/>
      <c r="AG78" s="158" t="s">
        <v>1061</v>
      </c>
      <c r="AH78" s="158"/>
      <c r="AI78" s="158" t="s">
        <v>998</v>
      </c>
      <c r="AJ78" s="158" t="s">
        <v>1061</v>
      </c>
      <c r="AK78" s="279"/>
    </row>
    <row r="79" spans="1:37" x14ac:dyDescent="0.2">
      <c r="A79" s="307" t="s">
        <v>1222</v>
      </c>
      <c r="B79" s="8"/>
      <c r="C79" s="8" t="s">
        <v>113</v>
      </c>
      <c r="D79" s="8"/>
      <c r="E79" s="8" t="s">
        <v>184</v>
      </c>
      <c r="F79" s="8" t="s">
        <v>962</v>
      </c>
      <c r="G79" s="10" t="s">
        <v>61</v>
      </c>
      <c r="H79" s="8"/>
      <c r="I79" s="10" t="s">
        <v>62</v>
      </c>
      <c r="J79" s="10" t="s">
        <v>80</v>
      </c>
      <c r="K79" s="10" t="s">
        <v>451</v>
      </c>
      <c r="L79" s="93">
        <v>20.5</v>
      </c>
      <c r="M79" s="93"/>
      <c r="N79" s="30" t="s">
        <v>1116</v>
      </c>
      <c r="O79" s="21">
        <v>42640</v>
      </c>
      <c r="P79" s="30" t="s">
        <v>1116</v>
      </c>
      <c r="Q79" s="21">
        <v>42648</v>
      </c>
      <c r="R79" s="254" t="s">
        <v>1116</v>
      </c>
      <c r="S79" s="152">
        <v>43017</v>
      </c>
      <c r="T79" s="149"/>
      <c r="U79" s="38"/>
      <c r="V79" s="149"/>
      <c r="W79" s="38"/>
      <c r="X79" s="130" t="s">
        <v>987</v>
      </c>
      <c r="Y79" s="130" t="s">
        <v>685</v>
      </c>
      <c r="Z79" s="131">
        <v>41817</v>
      </c>
      <c r="AA79" s="38" t="s">
        <v>1225</v>
      </c>
      <c r="AB79" s="318">
        <v>42633</v>
      </c>
      <c r="AC79" s="320">
        <v>42892</v>
      </c>
      <c r="AD79" s="158"/>
      <c r="AE79" s="158" t="s">
        <v>1262</v>
      </c>
      <c r="AF79" s="158" t="s">
        <v>1061</v>
      </c>
      <c r="AG79" s="158"/>
      <c r="AH79" s="158"/>
      <c r="AI79" s="158" t="s">
        <v>1061</v>
      </c>
      <c r="AJ79" s="158" t="s">
        <v>998</v>
      </c>
      <c r="AK79" s="279"/>
    </row>
    <row r="80" spans="1:37" x14ac:dyDescent="0.2">
      <c r="A80" s="307" t="s">
        <v>1223</v>
      </c>
      <c r="B80" s="8"/>
      <c r="C80" s="8" t="s">
        <v>112</v>
      </c>
      <c r="D80" s="8"/>
      <c r="E80" s="8" t="s">
        <v>184</v>
      </c>
      <c r="F80" s="8" t="s">
        <v>962</v>
      </c>
      <c r="G80" s="10" t="s">
        <v>61</v>
      </c>
      <c r="H80" s="8" t="s">
        <v>81</v>
      </c>
      <c r="I80" s="10"/>
      <c r="J80" s="10"/>
      <c r="K80" s="10" t="s">
        <v>450</v>
      </c>
      <c r="L80" s="93">
        <v>100</v>
      </c>
      <c r="M80" s="93"/>
      <c r="N80" s="30" t="s">
        <v>1116</v>
      </c>
      <c r="O80" s="21">
        <v>42640</v>
      </c>
      <c r="P80" s="30" t="s">
        <v>1116</v>
      </c>
      <c r="Q80" s="21">
        <v>42648</v>
      </c>
      <c r="R80" s="30" t="s">
        <v>1116</v>
      </c>
      <c r="S80" s="21">
        <v>42850</v>
      </c>
      <c r="T80" s="30" t="s">
        <v>1116</v>
      </c>
      <c r="U80" s="21">
        <v>42627</v>
      </c>
      <c r="V80" s="149"/>
      <c r="W80" s="38"/>
      <c r="X80" s="130" t="s">
        <v>987</v>
      </c>
      <c r="Y80" s="130" t="s">
        <v>453</v>
      </c>
      <c r="Z80" s="131">
        <v>39051</v>
      </c>
      <c r="AA80" s="38" t="s">
        <v>1225</v>
      </c>
      <c r="AB80" s="318">
        <v>42633</v>
      </c>
      <c r="AC80" s="320">
        <v>42894</v>
      </c>
      <c r="AD80" s="158" t="s">
        <v>1061</v>
      </c>
      <c r="AE80" s="158" t="s">
        <v>998</v>
      </c>
      <c r="AF80" s="158" t="s">
        <v>1061</v>
      </c>
      <c r="AG80" s="158"/>
      <c r="AH80" s="158" t="s">
        <v>998</v>
      </c>
      <c r="AI80" s="158" t="s">
        <v>1061</v>
      </c>
      <c r="AJ80" s="158"/>
      <c r="AK80" s="279" t="s">
        <v>998</v>
      </c>
    </row>
    <row r="81" spans="1:37" s="35" customFormat="1" x14ac:dyDescent="0.2">
      <c r="A81" s="307" t="s">
        <v>1224</v>
      </c>
      <c r="B81" s="8"/>
      <c r="C81" s="8" t="s">
        <v>114</v>
      </c>
      <c r="D81" s="8"/>
      <c r="E81" s="8" t="s">
        <v>184</v>
      </c>
      <c r="F81" s="8" t="s">
        <v>962</v>
      </c>
      <c r="G81" s="10" t="s">
        <v>61</v>
      </c>
      <c r="H81" s="8"/>
      <c r="I81" s="10" t="s">
        <v>62</v>
      </c>
      <c r="J81" s="10" t="s">
        <v>80</v>
      </c>
      <c r="K81" s="10" t="s">
        <v>451</v>
      </c>
      <c r="L81" s="93">
        <v>100</v>
      </c>
      <c r="M81" s="93"/>
      <c r="N81" s="30" t="s">
        <v>1116</v>
      </c>
      <c r="O81" s="21">
        <v>42640</v>
      </c>
      <c r="P81" s="30" t="s">
        <v>1116</v>
      </c>
      <c r="Q81" s="21">
        <v>42648</v>
      </c>
      <c r="R81" s="36" t="s">
        <v>1116</v>
      </c>
      <c r="S81" s="21">
        <v>43005</v>
      </c>
      <c r="T81" s="30" t="s">
        <v>1116</v>
      </c>
      <c r="U81" s="21">
        <v>42648</v>
      </c>
      <c r="V81" s="30" t="s">
        <v>1116</v>
      </c>
      <c r="W81" s="21">
        <v>42648</v>
      </c>
      <c r="X81" s="130" t="s">
        <v>987</v>
      </c>
      <c r="Y81" s="130" t="s">
        <v>452</v>
      </c>
      <c r="Z81" s="131">
        <v>39752</v>
      </c>
      <c r="AA81" s="38" t="s">
        <v>1225</v>
      </c>
      <c r="AB81" s="319">
        <v>41417</v>
      </c>
      <c r="AC81" s="320">
        <v>42893</v>
      </c>
      <c r="AD81" s="158" t="s">
        <v>1061</v>
      </c>
      <c r="AE81" s="174" t="s">
        <v>1061</v>
      </c>
      <c r="AF81" s="158" t="s">
        <v>1061</v>
      </c>
      <c r="AG81" s="158" t="s">
        <v>998</v>
      </c>
      <c r="AH81" s="158" t="s">
        <v>1061</v>
      </c>
      <c r="AI81" s="158" t="s">
        <v>998</v>
      </c>
      <c r="AJ81" s="158" t="s">
        <v>1061</v>
      </c>
      <c r="AK81" s="279" t="s">
        <v>998</v>
      </c>
    </row>
    <row r="82" spans="1:37" x14ac:dyDescent="0.2">
      <c r="A82" s="37" t="s">
        <v>1282</v>
      </c>
      <c r="B82" s="10"/>
      <c r="C82" s="7" t="s">
        <v>114</v>
      </c>
      <c r="D82" s="10" t="s">
        <v>977</v>
      </c>
      <c r="E82" s="10" t="s">
        <v>184</v>
      </c>
      <c r="F82" s="10" t="s">
        <v>963</v>
      </c>
      <c r="G82" s="7" t="s">
        <v>61</v>
      </c>
      <c r="H82" s="7"/>
      <c r="I82" s="312" t="s">
        <v>62</v>
      </c>
      <c r="J82" s="7" t="s">
        <v>80</v>
      </c>
      <c r="K82" s="7" t="s">
        <v>395</v>
      </c>
      <c r="L82" s="93">
        <v>94</v>
      </c>
      <c r="M82" s="93"/>
      <c r="N82" s="20" t="s">
        <v>1116</v>
      </c>
      <c r="O82" s="21">
        <v>42986</v>
      </c>
      <c r="P82" s="20" t="s">
        <v>438</v>
      </c>
      <c r="Q82" s="21">
        <v>41568</v>
      </c>
      <c r="R82" s="29" t="s">
        <v>1116</v>
      </c>
      <c r="S82" s="152">
        <v>43035</v>
      </c>
      <c r="T82" s="7"/>
      <c r="U82" s="7">
        <v>2008</v>
      </c>
      <c r="V82" s="20" t="s">
        <v>438</v>
      </c>
      <c r="W82" s="21">
        <v>41295</v>
      </c>
      <c r="X82" s="130" t="s">
        <v>987</v>
      </c>
      <c r="Y82" s="130" t="s">
        <v>376</v>
      </c>
      <c r="Z82" s="131">
        <v>39728</v>
      </c>
      <c r="AA82" s="38" t="s">
        <v>1043</v>
      </c>
      <c r="AB82" s="318">
        <v>42633</v>
      </c>
      <c r="AC82" s="320">
        <v>42895</v>
      </c>
      <c r="AD82" s="158" t="s">
        <v>1061</v>
      </c>
      <c r="AE82" s="158" t="s">
        <v>998</v>
      </c>
      <c r="AF82" s="158" t="s">
        <v>1061</v>
      </c>
      <c r="AG82" s="158" t="s">
        <v>1061</v>
      </c>
      <c r="AH82" s="158" t="s">
        <v>998</v>
      </c>
      <c r="AI82" s="158" t="s">
        <v>1061</v>
      </c>
      <c r="AJ82" s="158" t="s">
        <v>998</v>
      </c>
      <c r="AK82" s="279" t="s">
        <v>1061</v>
      </c>
    </row>
    <row r="83" spans="1:37" x14ac:dyDescent="0.2">
      <c r="A83" s="307" t="s">
        <v>1336</v>
      </c>
      <c r="B83" s="8" t="s">
        <v>1272</v>
      </c>
      <c r="C83" s="8" t="s">
        <v>112</v>
      </c>
      <c r="D83" s="8"/>
      <c r="E83" s="8" t="s">
        <v>188</v>
      </c>
      <c r="F83" s="8" t="s">
        <v>962</v>
      </c>
      <c r="G83" s="7" t="s">
        <v>56</v>
      </c>
      <c r="H83" s="8" t="s">
        <v>57</v>
      </c>
      <c r="I83" s="7"/>
      <c r="J83" s="7"/>
      <c r="K83" s="10" t="s">
        <v>85</v>
      </c>
      <c r="L83" s="93">
        <v>70</v>
      </c>
      <c r="M83" s="93"/>
      <c r="N83" s="20" t="s">
        <v>493</v>
      </c>
      <c r="O83" s="21">
        <v>42842</v>
      </c>
      <c r="P83" s="20" t="s">
        <v>493</v>
      </c>
      <c r="Q83" s="21">
        <v>42907</v>
      </c>
      <c r="R83" s="20" t="s">
        <v>493</v>
      </c>
      <c r="S83" s="21">
        <v>42895</v>
      </c>
      <c r="T83" s="20" t="s">
        <v>493</v>
      </c>
      <c r="U83" s="21">
        <v>41645</v>
      </c>
      <c r="V83" s="7"/>
      <c r="W83" s="7"/>
      <c r="X83" s="130" t="s">
        <v>987</v>
      </c>
      <c r="Y83" s="130" t="s">
        <v>375</v>
      </c>
      <c r="Z83" s="131">
        <v>38684</v>
      </c>
      <c r="AA83" s="2" t="s">
        <v>1342</v>
      </c>
      <c r="AB83" s="318">
        <v>42319</v>
      </c>
      <c r="AC83" s="320">
        <v>42811</v>
      </c>
      <c r="AD83" s="158" t="s">
        <v>1060</v>
      </c>
      <c r="AE83" s="158"/>
      <c r="AF83" s="158" t="s">
        <v>1061</v>
      </c>
      <c r="AG83" s="158"/>
      <c r="AH83" s="158" t="s">
        <v>998</v>
      </c>
      <c r="AI83" s="158" t="s">
        <v>1061</v>
      </c>
      <c r="AJ83" s="158"/>
      <c r="AK83" s="279" t="s">
        <v>998</v>
      </c>
    </row>
    <row r="84" spans="1:37" x14ac:dyDescent="0.2">
      <c r="A84" s="307" t="s">
        <v>705</v>
      </c>
      <c r="B84" s="8"/>
      <c r="C84" s="8" t="s">
        <v>113</v>
      </c>
      <c r="D84" s="8"/>
      <c r="E84" s="8" t="s">
        <v>250</v>
      </c>
      <c r="F84" s="8" t="s">
        <v>959</v>
      </c>
      <c r="G84" s="10" t="s">
        <v>56</v>
      </c>
      <c r="H84" s="8" t="s">
        <v>130</v>
      </c>
      <c r="I84" s="10"/>
      <c r="J84" s="10"/>
      <c r="K84" s="10" t="s">
        <v>706</v>
      </c>
      <c r="L84" s="93">
        <v>66</v>
      </c>
      <c r="M84" s="93"/>
      <c r="N84" s="20" t="s">
        <v>707</v>
      </c>
      <c r="O84" s="21">
        <v>42305</v>
      </c>
      <c r="P84" s="20" t="s">
        <v>707</v>
      </c>
      <c r="Q84" s="21">
        <v>41984</v>
      </c>
      <c r="R84" s="20" t="s">
        <v>707</v>
      </c>
      <c r="S84" s="21">
        <v>41995</v>
      </c>
      <c r="T84" s="10"/>
      <c r="U84" s="38"/>
      <c r="V84" s="10"/>
      <c r="W84" s="10"/>
      <c r="X84" s="89" t="s">
        <v>989</v>
      </c>
      <c r="Y84" s="89" t="s">
        <v>1017</v>
      </c>
      <c r="Z84" s="90">
        <v>42307</v>
      </c>
      <c r="AA84" s="10" t="s">
        <v>708</v>
      </c>
      <c r="AB84" s="319"/>
      <c r="AC84" s="320">
        <v>42248</v>
      </c>
      <c r="AD84" s="158" t="s">
        <v>1061</v>
      </c>
      <c r="AE84" s="158"/>
      <c r="AF84" s="158"/>
      <c r="AG84" s="158"/>
      <c r="AH84" s="158"/>
      <c r="AI84" s="158" t="s">
        <v>1061</v>
      </c>
      <c r="AJ84" s="158"/>
      <c r="AK84" s="279"/>
    </row>
    <row r="85" spans="1:37" x14ac:dyDescent="0.2">
      <c r="A85" s="307" t="s">
        <v>132</v>
      </c>
      <c r="B85" s="8"/>
      <c r="C85" s="8" t="s">
        <v>113</v>
      </c>
      <c r="D85" s="8" t="s">
        <v>977</v>
      </c>
      <c r="E85" s="8" t="s">
        <v>282</v>
      </c>
      <c r="F85" s="8" t="s">
        <v>963</v>
      </c>
      <c r="G85" s="7" t="s">
        <v>56</v>
      </c>
      <c r="H85" s="8" t="s">
        <v>57</v>
      </c>
      <c r="I85" s="7"/>
      <c r="J85" s="7"/>
      <c r="K85" s="10" t="s">
        <v>133</v>
      </c>
      <c r="L85" s="93">
        <v>74</v>
      </c>
      <c r="M85" s="93"/>
      <c r="N85" s="20" t="s">
        <v>638</v>
      </c>
      <c r="O85" s="21">
        <v>42535</v>
      </c>
      <c r="P85" s="20" t="s">
        <v>638</v>
      </c>
      <c r="Q85" s="21">
        <v>41929</v>
      </c>
      <c r="R85" s="20" t="s">
        <v>638</v>
      </c>
      <c r="S85" s="21">
        <v>41929</v>
      </c>
      <c r="T85" s="7"/>
      <c r="U85" s="7"/>
      <c r="V85" s="7"/>
      <c r="W85" s="7"/>
      <c r="X85" s="89" t="s">
        <v>989</v>
      </c>
      <c r="Y85" s="89" t="s">
        <v>772</v>
      </c>
      <c r="Z85" s="90">
        <v>41954</v>
      </c>
      <c r="AA85" s="10" t="s">
        <v>724</v>
      </c>
      <c r="AB85" s="319">
        <v>41697</v>
      </c>
      <c r="AC85" s="319">
        <v>43026</v>
      </c>
      <c r="AD85" s="158" t="s">
        <v>1061</v>
      </c>
      <c r="AE85" s="158"/>
      <c r="AF85" s="158" t="s">
        <v>1061</v>
      </c>
      <c r="AG85" s="158"/>
      <c r="AH85" s="158" t="s">
        <v>998</v>
      </c>
      <c r="AI85" s="158" t="s">
        <v>1061</v>
      </c>
      <c r="AJ85" s="158"/>
      <c r="AK85" s="279"/>
    </row>
    <row r="86" spans="1:37" x14ac:dyDescent="0.2">
      <c r="A86" s="307" t="s">
        <v>299</v>
      </c>
      <c r="B86" s="8"/>
      <c r="C86" s="8" t="s">
        <v>114</v>
      </c>
      <c r="D86" s="8"/>
      <c r="E86" s="8" t="s">
        <v>537</v>
      </c>
      <c r="F86" s="8" t="s">
        <v>964</v>
      </c>
      <c r="G86" s="7" t="s">
        <v>75</v>
      </c>
      <c r="H86" s="8" t="s">
        <v>76</v>
      </c>
      <c r="I86" s="7"/>
      <c r="J86" s="7"/>
      <c r="K86" s="10" t="s">
        <v>300</v>
      </c>
      <c r="L86" s="93">
        <v>77</v>
      </c>
      <c r="M86" s="93"/>
      <c r="N86" s="20" t="s">
        <v>1175</v>
      </c>
      <c r="O86" s="21">
        <v>42521</v>
      </c>
      <c r="P86" s="20" t="s">
        <v>455</v>
      </c>
      <c r="Q86" s="21">
        <v>41929</v>
      </c>
      <c r="R86" s="20" t="s">
        <v>1175</v>
      </c>
      <c r="S86" s="21">
        <v>42697</v>
      </c>
      <c r="T86" s="20" t="s">
        <v>455</v>
      </c>
      <c r="U86" s="21">
        <v>41933</v>
      </c>
      <c r="V86" s="20" t="s">
        <v>455</v>
      </c>
      <c r="W86" s="21">
        <v>41933</v>
      </c>
      <c r="X86" s="130" t="s">
        <v>987</v>
      </c>
      <c r="Y86" s="130">
        <v>1</v>
      </c>
      <c r="Z86" s="131">
        <v>37624</v>
      </c>
      <c r="AA86" s="38" t="s">
        <v>723</v>
      </c>
      <c r="AB86" s="318">
        <v>42508</v>
      </c>
      <c r="AC86" s="318">
        <v>42759</v>
      </c>
      <c r="AD86" s="158" t="s">
        <v>1061</v>
      </c>
      <c r="AE86" s="158" t="s">
        <v>998</v>
      </c>
      <c r="AF86" s="158" t="s">
        <v>1061</v>
      </c>
      <c r="AG86" s="158" t="s">
        <v>998</v>
      </c>
      <c r="AH86" s="158" t="s">
        <v>1061</v>
      </c>
      <c r="AI86" s="158" t="s">
        <v>998</v>
      </c>
      <c r="AJ86" s="158" t="s">
        <v>1061</v>
      </c>
      <c r="AK86" s="279" t="s">
        <v>998</v>
      </c>
    </row>
    <row r="87" spans="1:37" x14ac:dyDescent="0.2">
      <c r="A87" s="307" t="s">
        <v>301</v>
      </c>
      <c r="B87" s="8"/>
      <c r="C87" s="8" t="s">
        <v>113</v>
      </c>
      <c r="D87" s="8"/>
      <c r="E87" s="8" t="s">
        <v>403</v>
      </c>
      <c r="F87" s="8" t="s">
        <v>973</v>
      </c>
      <c r="G87" s="10" t="s">
        <v>75</v>
      </c>
      <c r="H87" s="8" t="s">
        <v>275</v>
      </c>
      <c r="I87" s="10"/>
      <c r="J87" s="10"/>
      <c r="K87" s="10" t="s">
        <v>659</v>
      </c>
      <c r="L87" s="93">
        <v>555</v>
      </c>
      <c r="M87" s="93"/>
      <c r="N87" s="20" t="s">
        <v>667</v>
      </c>
      <c r="O87" s="23">
        <v>41800</v>
      </c>
      <c r="P87" s="20" t="s">
        <v>667</v>
      </c>
      <c r="Q87" s="21">
        <v>41957</v>
      </c>
      <c r="R87" s="20" t="s">
        <v>667</v>
      </c>
      <c r="S87" s="21">
        <v>41990</v>
      </c>
      <c r="T87" s="10"/>
      <c r="U87" s="10"/>
      <c r="V87" s="10"/>
      <c r="W87" s="10"/>
      <c r="X87" s="89" t="s">
        <v>989</v>
      </c>
      <c r="Y87" s="89" t="s">
        <v>833</v>
      </c>
      <c r="Z87" s="90">
        <v>41995</v>
      </c>
      <c r="AA87" s="10" t="s">
        <v>666</v>
      </c>
      <c r="AB87" s="319">
        <v>41774</v>
      </c>
      <c r="AC87" s="318">
        <v>42809</v>
      </c>
      <c r="AD87" s="158"/>
      <c r="AE87" s="158"/>
      <c r="AF87" s="158" t="s">
        <v>1061</v>
      </c>
      <c r="AG87" s="158"/>
      <c r="AH87" s="158" t="s">
        <v>998</v>
      </c>
      <c r="AI87" s="158" t="s">
        <v>1061</v>
      </c>
      <c r="AJ87" s="158"/>
      <c r="AK87" s="279"/>
    </row>
    <row r="88" spans="1:37" s="274" customFormat="1" x14ac:dyDescent="0.2">
      <c r="A88" s="249" t="s">
        <v>1433</v>
      </c>
      <c r="B88" s="39" t="s">
        <v>1362</v>
      </c>
      <c r="C88" s="19" t="s">
        <v>112</v>
      </c>
      <c r="D88" s="39"/>
      <c r="E88" s="39" t="s">
        <v>1354</v>
      </c>
      <c r="F88" s="39" t="s">
        <v>972</v>
      </c>
      <c r="G88" s="19" t="s">
        <v>292</v>
      </c>
      <c r="H88" s="19" t="s">
        <v>293</v>
      </c>
      <c r="I88" s="19"/>
      <c r="J88" s="19"/>
      <c r="K88" s="19" t="s">
        <v>1351</v>
      </c>
      <c r="L88" s="94">
        <v>229</v>
      </c>
      <c r="M88" s="94"/>
      <c r="N88" s="22" t="s">
        <v>1352</v>
      </c>
      <c r="O88" s="23">
        <v>42865</v>
      </c>
      <c r="P88" s="22" t="s">
        <v>1352</v>
      </c>
      <c r="Q88" s="23">
        <v>43019</v>
      </c>
      <c r="R88" s="92" t="s">
        <v>1352</v>
      </c>
      <c r="S88" s="24">
        <v>43019</v>
      </c>
      <c r="T88" s="22" t="s">
        <v>1352</v>
      </c>
      <c r="U88" s="23">
        <v>43038</v>
      </c>
      <c r="V88" s="19"/>
      <c r="W88" s="19"/>
      <c r="X88" s="250" t="s">
        <v>991</v>
      </c>
      <c r="Y88" s="250" t="s">
        <v>463</v>
      </c>
      <c r="Z88" s="251">
        <v>42830</v>
      </c>
      <c r="AA88" s="19" t="s">
        <v>1353</v>
      </c>
      <c r="AB88" s="318">
        <v>42951</v>
      </c>
      <c r="AC88" s="325"/>
      <c r="AD88" s="158"/>
      <c r="AE88" s="158"/>
      <c r="AF88" s="244" t="s">
        <v>998</v>
      </c>
      <c r="AG88" s="158" t="s">
        <v>1061</v>
      </c>
      <c r="AH88" s="158"/>
      <c r="AI88" s="158" t="s">
        <v>998</v>
      </c>
      <c r="AJ88" s="158" t="s">
        <v>1061</v>
      </c>
      <c r="AK88" s="279"/>
    </row>
    <row r="89" spans="1:37" x14ac:dyDescent="0.2">
      <c r="A89" s="333" t="s">
        <v>565</v>
      </c>
      <c r="B89" s="294"/>
      <c r="C89" s="293" t="s">
        <v>114</v>
      </c>
      <c r="D89" s="294"/>
      <c r="E89" s="294" t="s">
        <v>182</v>
      </c>
      <c r="F89" s="334" t="s">
        <v>975</v>
      </c>
      <c r="G89" s="293" t="s">
        <v>61</v>
      </c>
      <c r="H89" s="293" t="s">
        <v>78</v>
      </c>
      <c r="I89" s="335"/>
      <c r="J89" s="293"/>
      <c r="K89" s="293" t="s">
        <v>79</v>
      </c>
      <c r="L89" s="295">
        <v>467</v>
      </c>
      <c r="M89" s="295"/>
      <c r="N89" s="296" t="s">
        <v>518</v>
      </c>
      <c r="O89" s="297">
        <v>42649</v>
      </c>
      <c r="P89" s="296" t="s">
        <v>518</v>
      </c>
      <c r="Q89" s="297">
        <v>41563</v>
      </c>
      <c r="R89" s="296" t="s">
        <v>518</v>
      </c>
      <c r="S89" s="297">
        <v>42697</v>
      </c>
      <c r="T89" s="293"/>
      <c r="U89" s="293"/>
      <c r="V89" s="296" t="s">
        <v>518</v>
      </c>
      <c r="W89" s="297">
        <v>41563</v>
      </c>
      <c r="X89" s="299" t="s">
        <v>989</v>
      </c>
      <c r="Y89" s="299" t="s">
        <v>9</v>
      </c>
      <c r="Z89" s="300">
        <v>40877</v>
      </c>
      <c r="AA89" s="298" t="s">
        <v>1046</v>
      </c>
      <c r="AB89" s="336">
        <v>42621</v>
      </c>
      <c r="AC89" s="336">
        <v>42776</v>
      </c>
      <c r="AD89" s="301" t="s">
        <v>1061</v>
      </c>
      <c r="AE89" s="301" t="s">
        <v>998</v>
      </c>
      <c r="AF89" s="301" t="s">
        <v>1061</v>
      </c>
      <c r="AG89" s="301" t="s">
        <v>1061</v>
      </c>
      <c r="AH89" s="301" t="s">
        <v>998</v>
      </c>
      <c r="AI89" s="301" t="s">
        <v>1061</v>
      </c>
      <c r="AJ89" s="301" t="s">
        <v>998</v>
      </c>
      <c r="AK89" s="337" t="s">
        <v>1061</v>
      </c>
    </row>
    <row r="90" spans="1:37" x14ac:dyDescent="0.2">
      <c r="A90" s="307" t="s">
        <v>303</v>
      </c>
      <c r="B90" s="8"/>
      <c r="C90" s="8" t="s">
        <v>113</v>
      </c>
      <c r="D90" s="8"/>
      <c r="E90" s="8" t="s">
        <v>188</v>
      </c>
      <c r="F90" s="8" t="s">
        <v>967</v>
      </c>
      <c r="G90" s="7" t="s">
        <v>75</v>
      </c>
      <c r="H90" s="8" t="s">
        <v>302</v>
      </c>
      <c r="I90" s="7"/>
      <c r="J90" s="7"/>
      <c r="K90" s="10" t="s">
        <v>304</v>
      </c>
      <c r="L90" s="93">
        <v>395</v>
      </c>
      <c r="M90" s="93"/>
      <c r="N90" s="20" t="s">
        <v>1238</v>
      </c>
      <c r="O90" s="21">
        <v>42662</v>
      </c>
      <c r="P90" s="20" t="s">
        <v>456</v>
      </c>
      <c r="Q90" s="21">
        <v>41548</v>
      </c>
      <c r="R90" s="20" t="s">
        <v>456</v>
      </c>
      <c r="S90" s="21">
        <v>41991</v>
      </c>
      <c r="T90" s="7"/>
      <c r="U90" s="7"/>
      <c r="V90" s="7"/>
      <c r="W90" s="7"/>
      <c r="X90" s="89" t="s">
        <v>989</v>
      </c>
      <c r="Y90" s="89" t="s">
        <v>845</v>
      </c>
      <c r="Z90" s="90">
        <v>42017</v>
      </c>
      <c r="AA90" s="10" t="s">
        <v>1047</v>
      </c>
      <c r="AB90" s="318">
        <v>41332</v>
      </c>
      <c r="AC90" s="318">
        <v>42899</v>
      </c>
      <c r="AD90" s="158"/>
      <c r="AE90" s="158"/>
      <c r="AF90" s="158" t="s">
        <v>1061</v>
      </c>
      <c r="AG90" s="158" t="s">
        <v>998</v>
      </c>
      <c r="AH90" s="158"/>
      <c r="AI90" s="158"/>
      <c r="AJ90" s="158"/>
      <c r="AK90" s="279" t="s">
        <v>1061</v>
      </c>
    </row>
    <row r="91" spans="1:37" x14ac:dyDescent="0.2">
      <c r="A91" s="26" t="s">
        <v>1059</v>
      </c>
      <c r="B91" s="314" t="s">
        <v>1334</v>
      </c>
      <c r="C91" s="15" t="s">
        <v>113</v>
      </c>
      <c r="D91" s="15"/>
      <c r="E91" s="15" t="s">
        <v>193</v>
      </c>
      <c r="F91" s="8" t="s">
        <v>973</v>
      </c>
      <c r="G91" s="314" t="s">
        <v>61</v>
      </c>
      <c r="H91" s="39" t="s">
        <v>322</v>
      </c>
      <c r="I91" s="39"/>
      <c r="J91" s="39"/>
      <c r="K91" s="39" t="s">
        <v>323</v>
      </c>
      <c r="L91" s="94">
        <v>338</v>
      </c>
      <c r="M91" s="94"/>
      <c r="N91" s="22" t="s">
        <v>1015</v>
      </c>
      <c r="O91" s="23">
        <v>42313</v>
      </c>
      <c r="P91" s="22" t="s">
        <v>485</v>
      </c>
      <c r="Q91" s="23">
        <v>41366</v>
      </c>
      <c r="R91" s="22" t="s">
        <v>423</v>
      </c>
      <c r="S91" s="23">
        <v>41978</v>
      </c>
      <c r="T91" s="39"/>
      <c r="U91" s="39"/>
      <c r="V91" s="39"/>
      <c r="W91" s="39"/>
      <c r="X91" s="89" t="s">
        <v>989</v>
      </c>
      <c r="Y91" s="89" t="s">
        <v>838</v>
      </c>
      <c r="Z91" s="90">
        <v>41984</v>
      </c>
      <c r="AA91" s="16" t="s">
        <v>1057</v>
      </c>
      <c r="AB91" s="319">
        <v>42892</v>
      </c>
      <c r="AC91" s="319">
        <v>42872</v>
      </c>
      <c r="AD91" s="158"/>
      <c r="AE91" s="174" t="s">
        <v>1061</v>
      </c>
      <c r="AF91" s="244" t="s">
        <v>998</v>
      </c>
      <c r="AG91" s="158" t="s">
        <v>1061</v>
      </c>
      <c r="AH91" s="158"/>
      <c r="AI91" s="158"/>
      <c r="AJ91" s="158" t="s">
        <v>1061</v>
      </c>
      <c r="AK91" s="279" t="s">
        <v>998</v>
      </c>
    </row>
    <row r="92" spans="1:37" x14ac:dyDescent="0.2">
      <c r="A92" s="26" t="s">
        <v>1397</v>
      </c>
      <c r="B92" s="314"/>
      <c r="C92" s="15" t="s">
        <v>112</v>
      </c>
      <c r="D92" s="15"/>
      <c r="E92" s="15" t="s">
        <v>227</v>
      </c>
      <c r="F92" s="8" t="s">
        <v>1398</v>
      </c>
      <c r="G92" s="314" t="s">
        <v>75</v>
      </c>
      <c r="H92" s="39"/>
      <c r="I92" s="39" t="s">
        <v>1399</v>
      </c>
      <c r="J92" s="39" t="s">
        <v>1400</v>
      </c>
      <c r="K92" s="39"/>
      <c r="L92" s="94">
        <v>60</v>
      </c>
      <c r="M92" s="94"/>
      <c r="N92" s="22" t="s">
        <v>1074</v>
      </c>
      <c r="O92" s="23">
        <v>43019</v>
      </c>
      <c r="P92" s="92" t="s">
        <v>1074</v>
      </c>
      <c r="Q92" s="24">
        <v>43005</v>
      </c>
      <c r="R92" s="92"/>
      <c r="S92" s="24"/>
      <c r="T92" s="92"/>
      <c r="U92" s="92"/>
      <c r="V92" s="39"/>
      <c r="W92" s="39"/>
      <c r="X92" s="156" t="s">
        <v>988</v>
      </c>
      <c r="Y92" s="156"/>
      <c r="Z92" s="137"/>
      <c r="AA92" s="16"/>
      <c r="AB92" s="319"/>
      <c r="AC92" s="319"/>
      <c r="AD92" s="158"/>
      <c r="AE92" s="174"/>
      <c r="AF92" s="158"/>
      <c r="AG92" s="158" t="s">
        <v>1060</v>
      </c>
      <c r="AH92" s="158"/>
      <c r="AI92" s="158"/>
      <c r="AJ92" s="158" t="s">
        <v>1061</v>
      </c>
      <c r="AK92" s="279"/>
    </row>
    <row r="93" spans="1:37" x14ac:dyDescent="0.2">
      <c r="A93" s="307" t="s">
        <v>610</v>
      </c>
      <c r="B93" s="8"/>
      <c r="C93" s="8" t="s">
        <v>113</v>
      </c>
      <c r="D93" s="8"/>
      <c r="E93" s="8" t="s">
        <v>227</v>
      </c>
      <c r="F93" s="8" t="s">
        <v>960</v>
      </c>
      <c r="G93" s="10" t="s">
        <v>56</v>
      </c>
      <c r="H93" s="8" t="s">
        <v>88</v>
      </c>
      <c r="I93" s="10"/>
      <c r="J93" s="10"/>
      <c r="K93" s="10" t="s">
        <v>611</v>
      </c>
      <c r="L93" s="93">
        <v>26</v>
      </c>
      <c r="M93" s="93"/>
      <c r="N93" s="20" t="s">
        <v>1074</v>
      </c>
      <c r="O93" s="21">
        <v>42445</v>
      </c>
      <c r="P93" s="20" t="s">
        <v>1074</v>
      </c>
      <c r="Q93" s="21">
        <v>42907</v>
      </c>
      <c r="R93" s="143"/>
      <c r="S93" s="145"/>
      <c r="T93" s="10"/>
      <c r="U93" s="10"/>
      <c r="V93" s="10"/>
      <c r="W93" s="10"/>
      <c r="X93" s="156" t="s">
        <v>988</v>
      </c>
      <c r="Y93" s="138" t="s">
        <v>660</v>
      </c>
      <c r="Z93" s="139">
        <v>40185</v>
      </c>
      <c r="AA93" s="10" t="s">
        <v>1048</v>
      </c>
      <c r="AB93" s="319">
        <v>42306</v>
      </c>
      <c r="AC93" s="318">
        <v>42838</v>
      </c>
      <c r="AD93" s="158" t="s">
        <v>998</v>
      </c>
      <c r="AE93" s="174" t="s">
        <v>1061</v>
      </c>
      <c r="AF93" s="158" t="s">
        <v>1061</v>
      </c>
      <c r="AG93" s="158"/>
      <c r="AH93" s="158"/>
      <c r="AI93" s="158" t="s">
        <v>1060</v>
      </c>
      <c r="AJ93" s="158"/>
      <c r="AK93" s="279"/>
    </row>
    <row r="94" spans="1:37" x14ac:dyDescent="0.2">
      <c r="A94" s="307" t="s">
        <v>877</v>
      </c>
      <c r="B94" s="8"/>
      <c r="C94" s="8" t="s">
        <v>113</v>
      </c>
      <c r="D94" s="8"/>
      <c r="E94" s="8" t="s">
        <v>277</v>
      </c>
      <c r="F94" s="153" t="s">
        <v>975</v>
      </c>
      <c r="G94" s="10" t="s">
        <v>69</v>
      </c>
      <c r="H94" s="8"/>
      <c r="I94" s="10" t="s">
        <v>70</v>
      </c>
      <c r="J94" s="10" t="s">
        <v>71</v>
      </c>
      <c r="K94" s="10" t="s">
        <v>289</v>
      </c>
      <c r="L94" s="93">
        <v>26</v>
      </c>
      <c r="M94" s="93"/>
      <c r="N94" s="20" t="s">
        <v>894</v>
      </c>
      <c r="O94" s="21">
        <v>42292</v>
      </c>
      <c r="P94" s="20" t="s">
        <v>894</v>
      </c>
      <c r="Q94" s="21">
        <v>42524</v>
      </c>
      <c r="R94" s="20" t="s">
        <v>894</v>
      </c>
      <c r="S94" s="21">
        <v>42846</v>
      </c>
      <c r="T94" s="10"/>
      <c r="U94" s="10"/>
      <c r="V94" s="10"/>
      <c r="W94" s="10"/>
      <c r="X94" s="89" t="s">
        <v>989</v>
      </c>
      <c r="Y94" s="89" t="s">
        <v>1349</v>
      </c>
      <c r="Z94" s="90">
        <v>42851</v>
      </c>
      <c r="AA94" s="10" t="s">
        <v>878</v>
      </c>
      <c r="AB94" s="319">
        <v>42229</v>
      </c>
      <c r="AC94" s="318">
        <v>42706</v>
      </c>
      <c r="AD94" s="158" t="s">
        <v>998</v>
      </c>
      <c r="AE94" s="158" t="s">
        <v>1061</v>
      </c>
      <c r="AF94" s="158"/>
      <c r="AG94" s="158"/>
      <c r="AH94" s="158" t="s">
        <v>1061</v>
      </c>
      <c r="AI94" s="158" t="s">
        <v>998</v>
      </c>
      <c r="AJ94" s="158"/>
      <c r="AK94" s="279" t="s">
        <v>1061</v>
      </c>
    </row>
    <row r="95" spans="1:37" x14ac:dyDescent="0.2">
      <c r="A95" s="307" t="s">
        <v>135</v>
      </c>
      <c r="B95" s="8" t="s">
        <v>1272</v>
      </c>
      <c r="C95" s="8" t="s">
        <v>113</v>
      </c>
      <c r="D95" s="8"/>
      <c r="E95" s="8" t="s">
        <v>203</v>
      </c>
      <c r="F95" s="153" t="s">
        <v>965</v>
      </c>
      <c r="G95" s="7" t="s">
        <v>56</v>
      </c>
      <c r="H95" s="8"/>
      <c r="I95" s="7" t="s">
        <v>167</v>
      </c>
      <c r="J95" s="7" t="s">
        <v>136</v>
      </c>
      <c r="K95" s="10" t="s">
        <v>359</v>
      </c>
      <c r="L95" s="93">
        <v>0</v>
      </c>
      <c r="M95" s="93"/>
      <c r="N95" s="20" t="s">
        <v>1199</v>
      </c>
      <c r="O95" s="21">
        <v>42599</v>
      </c>
      <c r="P95" s="20" t="s">
        <v>1199</v>
      </c>
      <c r="Q95" s="21">
        <v>42900</v>
      </c>
      <c r="R95" s="36" t="s">
        <v>444</v>
      </c>
      <c r="S95" s="23">
        <v>42912</v>
      </c>
      <c r="T95" s="7"/>
      <c r="U95" s="7"/>
      <c r="V95" s="7"/>
      <c r="W95" s="7"/>
      <c r="X95" s="130" t="s">
        <v>987</v>
      </c>
      <c r="Y95" s="130" t="s">
        <v>308</v>
      </c>
      <c r="Z95" s="131">
        <v>40213</v>
      </c>
      <c r="AA95" s="38" t="s">
        <v>1049</v>
      </c>
      <c r="AB95" s="318">
        <v>42579</v>
      </c>
      <c r="AC95" s="318">
        <v>42794</v>
      </c>
      <c r="AD95" s="158"/>
      <c r="AE95" s="158" t="s">
        <v>998</v>
      </c>
      <c r="AF95" s="158" t="s">
        <v>1061</v>
      </c>
      <c r="AG95" s="158"/>
      <c r="AH95" s="158"/>
      <c r="AI95" s="158" t="s">
        <v>1061</v>
      </c>
      <c r="AJ95" s="158" t="s">
        <v>998</v>
      </c>
      <c r="AK95" s="279"/>
    </row>
    <row r="96" spans="1:37" s="35" customFormat="1" x14ac:dyDescent="0.2">
      <c r="A96" s="307" t="s">
        <v>388</v>
      </c>
      <c r="B96" s="8"/>
      <c r="C96" s="8" t="s">
        <v>113</v>
      </c>
      <c r="D96" s="8"/>
      <c r="E96" s="8" t="s">
        <v>325</v>
      </c>
      <c r="F96" s="8" t="s">
        <v>959</v>
      </c>
      <c r="G96" s="10" t="s">
        <v>69</v>
      </c>
      <c r="H96" s="8" t="s">
        <v>70</v>
      </c>
      <c r="I96" s="10"/>
      <c r="J96" s="10"/>
      <c r="K96" s="8" t="s">
        <v>389</v>
      </c>
      <c r="L96" s="95">
        <v>60</v>
      </c>
      <c r="M96" s="95"/>
      <c r="N96" s="161" t="s">
        <v>668</v>
      </c>
      <c r="O96" s="151">
        <v>41808</v>
      </c>
      <c r="P96" s="30" t="s">
        <v>668</v>
      </c>
      <c r="Q96" s="21">
        <v>41992</v>
      </c>
      <c r="R96" s="30" t="s">
        <v>668</v>
      </c>
      <c r="S96" s="21">
        <v>42081</v>
      </c>
      <c r="T96" s="10"/>
      <c r="U96" s="10"/>
      <c r="V96" s="10"/>
      <c r="W96" s="10"/>
      <c r="X96" s="89" t="s">
        <v>989</v>
      </c>
      <c r="Y96" s="89" t="s">
        <v>866</v>
      </c>
      <c r="Z96" s="90">
        <v>42083</v>
      </c>
      <c r="AA96" s="10" t="s">
        <v>671</v>
      </c>
      <c r="AB96" s="325"/>
      <c r="AC96" s="318">
        <v>42298</v>
      </c>
      <c r="AD96" s="158"/>
      <c r="AE96" s="174" t="s">
        <v>1061</v>
      </c>
      <c r="AF96" s="158"/>
      <c r="AG96" s="158" t="s">
        <v>1061</v>
      </c>
      <c r="AH96" s="158"/>
      <c r="AI96" s="158"/>
      <c r="AJ96" s="158"/>
      <c r="AK96" s="279"/>
    </row>
    <row r="97" spans="1:37" s="35" customFormat="1" x14ac:dyDescent="0.2">
      <c r="A97" s="26" t="s">
        <v>196</v>
      </c>
      <c r="B97" s="314"/>
      <c r="C97" s="14" t="s">
        <v>112</v>
      </c>
      <c r="D97" s="15"/>
      <c r="E97" s="15" t="s">
        <v>227</v>
      </c>
      <c r="F97" s="15" t="s">
        <v>960</v>
      </c>
      <c r="G97" s="315" t="s">
        <v>66</v>
      </c>
      <c r="H97" s="19"/>
      <c r="I97" s="19" t="s">
        <v>67</v>
      </c>
      <c r="J97" s="19" t="s">
        <v>220</v>
      </c>
      <c r="K97" s="19" t="s">
        <v>929</v>
      </c>
      <c r="L97" s="94">
        <v>175</v>
      </c>
      <c r="M97" s="94"/>
      <c r="N97" s="22" t="s">
        <v>957</v>
      </c>
      <c r="O97" s="23">
        <v>42277</v>
      </c>
      <c r="P97" s="22" t="s">
        <v>957</v>
      </c>
      <c r="Q97" s="23">
        <v>42506</v>
      </c>
      <c r="R97" s="22" t="s">
        <v>957</v>
      </c>
      <c r="S97" s="23">
        <v>42964</v>
      </c>
      <c r="T97" s="22" t="s">
        <v>957</v>
      </c>
      <c r="U97" s="23">
        <v>42313</v>
      </c>
      <c r="V97" s="19"/>
      <c r="W97" s="19"/>
      <c r="X97" s="156" t="s">
        <v>988</v>
      </c>
      <c r="Y97" s="138" t="s">
        <v>930</v>
      </c>
      <c r="Z97" s="139">
        <v>39420</v>
      </c>
      <c r="AA97" s="16" t="s">
        <v>956</v>
      </c>
      <c r="AB97" s="319">
        <v>42229</v>
      </c>
      <c r="AC97" s="318">
        <v>42837</v>
      </c>
      <c r="AD97" s="158" t="s">
        <v>1060</v>
      </c>
      <c r="AE97" s="158"/>
      <c r="AF97" s="158" t="s">
        <v>1061</v>
      </c>
      <c r="AG97" s="158"/>
      <c r="AH97" s="158" t="s">
        <v>998</v>
      </c>
      <c r="AI97" s="158" t="s">
        <v>1061</v>
      </c>
      <c r="AJ97" s="158"/>
      <c r="AK97" s="279" t="s">
        <v>998</v>
      </c>
    </row>
    <row r="98" spans="1:37" s="35" customFormat="1" x14ac:dyDescent="0.2">
      <c r="A98" s="37" t="s">
        <v>1226</v>
      </c>
      <c r="B98" s="10" t="s">
        <v>1273</v>
      </c>
      <c r="C98" s="7" t="s">
        <v>112</v>
      </c>
      <c r="D98" s="10"/>
      <c r="E98" s="10" t="s">
        <v>185</v>
      </c>
      <c r="F98" s="10" t="s">
        <v>963</v>
      </c>
      <c r="G98" s="7" t="s">
        <v>72</v>
      </c>
      <c r="H98" s="7" t="s">
        <v>73</v>
      </c>
      <c r="I98" s="312"/>
      <c r="J98" s="7"/>
      <c r="K98" s="7" t="s">
        <v>74</v>
      </c>
      <c r="L98" s="93">
        <v>344</v>
      </c>
      <c r="M98" s="93"/>
      <c r="N98" s="30" t="s">
        <v>1227</v>
      </c>
      <c r="O98" s="21">
        <v>42648</v>
      </c>
      <c r="P98" s="263" t="s">
        <v>1227</v>
      </c>
      <c r="Q98" s="32">
        <v>43010</v>
      </c>
      <c r="R98" s="161" t="s">
        <v>440</v>
      </c>
      <c r="S98" s="151">
        <v>41558</v>
      </c>
      <c r="T98" s="22" t="s">
        <v>1227</v>
      </c>
      <c r="U98" s="23">
        <v>42821</v>
      </c>
      <c r="V98" s="7"/>
      <c r="W98" s="7"/>
      <c r="X98" s="89" t="s">
        <v>989</v>
      </c>
      <c r="Y98" s="89" t="s">
        <v>1244</v>
      </c>
      <c r="Z98" s="90">
        <v>42664</v>
      </c>
      <c r="AA98" s="38" t="s">
        <v>1228</v>
      </c>
      <c r="AB98" s="318">
        <v>42984</v>
      </c>
      <c r="AC98" s="318">
        <v>42262</v>
      </c>
      <c r="AD98" s="158" t="s">
        <v>1061</v>
      </c>
      <c r="AE98" s="158"/>
      <c r="AF98" s="244" t="s">
        <v>998</v>
      </c>
      <c r="AG98" s="158" t="s">
        <v>1061</v>
      </c>
      <c r="AH98" s="158"/>
      <c r="AI98" s="158" t="s">
        <v>998</v>
      </c>
      <c r="AJ98" s="158" t="s">
        <v>1061</v>
      </c>
      <c r="AK98" s="279"/>
    </row>
    <row r="99" spans="1:37" s="35" customFormat="1" x14ac:dyDescent="0.2">
      <c r="A99" s="307" t="s">
        <v>138</v>
      </c>
      <c r="B99" s="8"/>
      <c r="C99" s="8" t="s">
        <v>112</v>
      </c>
      <c r="D99" s="8"/>
      <c r="E99" s="8" t="s">
        <v>357</v>
      </c>
      <c r="F99" s="8" t="s">
        <v>974</v>
      </c>
      <c r="G99" s="7" t="s">
        <v>56</v>
      </c>
      <c r="H99" s="8"/>
      <c r="I99" s="7" t="s">
        <v>168</v>
      </c>
      <c r="J99" s="7" t="s">
        <v>175</v>
      </c>
      <c r="K99" s="10" t="s">
        <v>377</v>
      </c>
      <c r="L99" s="93">
        <v>532</v>
      </c>
      <c r="M99" s="93"/>
      <c r="N99" s="30" t="s">
        <v>1236</v>
      </c>
      <c r="O99" s="21">
        <v>42664</v>
      </c>
      <c r="P99" s="30" t="s">
        <v>447</v>
      </c>
      <c r="Q99" s="21">
        <v>41556</v>
      </c>
      <c r="R99" s="30" t="s">
        <v>447</v>
      </c>
      <c r="S99" s="21">
        <v>42523</v>
      </c>
      <c r="T99" s="143"/>
      <c r="U99" s="143"/>
      <c r="V99" s="7"/>
      <c r="W99" s="7"/>
      <c r="X99" s="130" t="s">
        <v>987</v>
      </c>
      <c r="Y99" s="130" t="s">
        <v>378</v>
      </c>
      <c r="Z99" s="131">
        <v>40354</v>
      </c>
      <c r="AA99" s="38" t="s">
        <v>1235</v>
      </c>
      <c r="AB99" s="318">
        <v>42312</v>
      </c>
      <c r="AC99" s="318">
        <v>42131</v>
      </c>
      <c r="AD99" s="158" t="s">
        <v>1060</v>
      </c>
      <c r="AE99" s="158"/>
      <c r="AF99" s="158"/>
      <c r="AG99" s="158"/>
      <c r="AH99" s="158" t="s">
        <v>1061</v>
      </c>
      <c r="AI99" s="158" t="s">
        <v>998</v>
      </c>
      <c r="AJ99" s="158"/>
      <c r="AK99" s="279" t="s">
        <v>1061</v>
      </c>
    </row>
    <row r="100" spans="1:37" x14ac:dyDescent="0.2">
      <c r="A100" s="37" t="s">
        <v>716</v>
      </c>
      <c r="B100" s="8"/>
      <c r="C100" s="8" t="s">
        <v>113</v>
      </c>
      <c r="D100" s="8"/>
      <c r="E100" s="8" t="s">
        <v>193</v>
      </c>
      <c r="F100" s="8" t="s">
        <v>973</v>
      </c>
      <c r="G100" s="7" t="s">
        <v>56</v>
      </c>
      <c r="H100" s="8"/>
      <c r="I100" s="7" t="s">
        <v>164</v>
      </c>
      <c r="J100" s="7" t="s">
        <v>717</v>
      </c>
      <c r="K100" s="10" t="s">
        <v>718</v>
      </c>
      <c r="L100" s="93">
        <v>344</v>
      </c>
      <c r="M100" s="93"/>
      <c r="N100" s="30" t="s">
        <v>719</v>
      </c>
      <c r="O100" s="21">
        <v>42438</v>
      </c>
      <c r="P100" s="30" t="s">
        <v>719</v>
      </c>
      <c r="Q100" s="21">
        <v>42062</v>
      </c>
      <c r="R100" s="30" t="s">
        <v>719</v>
      </c>
      <c r="S100" s="21">
        <v>42283</v>
      </c>
      <c r="T100" s="10"/>
      <c r="U100" s="10"/>
      <c r="V100" s="10"/>
      <c r="W100" s="10"/>
      <c r="X100" s="130" t="s">
        <v>987</v>
      </c>
      <c r="Y100" s="130" t="s">
        <v>821</v>
      </c>
      <c r="Z100" s="131">
        <v>39591</v>
      </c>
      <c r="AA100" s="38" t="s">
        <v>677</v>
      </c>
      <c r="AB100" s="318">
        <v>41977</v>
      </c>
      <c r="AC100" s="318">
        <v>42277</v>
      </c>
      <c r="AD100" s="158" t="s">
        <v>1061</v>
      </c>
      <c r="AE100" s="158"/>
      <c r="AF100" s="158"/>
      <c r="AG100" s="158" t="s">
        <v>1061</v>
      </c>
      <c r="AH100" s="158" t="s">
        <v>998</v>
      </c>
      <c r="AI100" s="158"/>
      <c r="AJ100" s="158"/>
      <c r="AK100" s="279"/>
    </row>
    <row r="101" spans="1:37" x14ac:dyDescent="0.2">
      <c r="A101" s="37" t="s">
        <v>778</v>
      </c>
      <c r="B101" s="8"/>
      <c r="C101" s="7" t="s">
        <v>113</v>
      </c>
      <c r="D101" s="10"/>
      <c r="E101" s="10" t="s">
        <v>193</v>
      </c>
      <c r="F101" s="8" t="s">
        <v>973</v>
      </c>
      <c r="G101" s="7" t="s">
        <v>75</v>
      </c>
      <c r="H101" s="7"/>
      <c r="I101" s="312" t="s">
        <v>229</v>
      </c>
      <c r="J101" s="7" t="s">
        <v>272</v>
      </c>
      <c r="K101" s="7" t="s">
        <v>273</v>
      </c>
      <c r="L101" s="93">
        <v>1600</v>
      </c>
      <c r="M101" s="93"/>
      <c r="N101" s="20" t="s">
        <v>779</v>
      </c>
      <c r="O101" s="21">
        <v>42496</v>
      </c>
      <c r="P101" s="20" t="s">
        <v>779</v>
      </c>
      <c r="Q101" s="21">
        <v>42817</v>
      </c>
      <c r="R101" s="20" t="s">
        <v>504</v>
      </c>
      <c r="S101" s="21">
        <v>42936</v>
      </c>
      <c r="T101" s="7"/>
      <c r="U101" s="7"/>
      <c r="V101" s="7"/>
      <c r="W101" s="7"/>
      <c r="X101" s="130" t="s">
        <v>987</v>
      </c>
      <c r="Y101" s="130">
        <v>39525</v>
      </c>
      <c r="Z101" s="131">
        <v>38677</v>
      </c>
      <c r="AA101" s="38" t="s">
        <v>677</v>
      </c>
      <c r="AB101" s="318">
        <v>41921</v>
      </c>
      <c r="AC101" s="318">
        <v>42878</v>
      </c>
      <c r="AD101" s="158" t="s">
        <v>1061</v>
      </c>
      <c r="AE101" s="158"/>
      <c r="AF101" s="158" t="s">
        <v>1061</v>
      </c>
      <c r="AG101" s="158"/>
      <c r="AH101" s="158" t="s">
        <v>998</v>
      </c>
      <c r="AI101" s="158" t="s">
        <v>1061</v>
      </c>
      <c r="AJ101" s="158"/>
      <c r="AK101" s="279"/>
    </row>
    <row r="102" spans="1:37" x14ac:dyDescent="0.2">
      <c r="A102" s="307" t="s">
        <v>690</v>
      </c>
      <c r="B102" s="8"/>
      <c r="C102" s="8" t="s">
        <v>113</v>
      </c>
      <c r="D102" s="8"/>
      <c r="E102" s="8" t="s">
        <v>193</v>
      </c>
      <c r="F102" s="8" t="s">
        <v>973</v>
      </c>
      <c r="G102" s="7" t="s">
        <v>56</v>
      </c>
      <c r="H102" s="8"/>
      <c r="I102" s="7" t="s">
        <v>164</v>
      </c>
      <c r="J102" s="7" t="s">
        <v>173</v>
      </c>
      <c r="K102" s="10" t="s">
        <v>179</v>
      </c>
      <c r="L102" s="93">
        <v>1100</v>
      </c>
      <c r="M102" s="93"/>
      <c r="N102" s="30" t="s">
        <v>504</v>
      </c>
      <c r="O102" s="21">
        <v>42339</v>
      </c>
      <c r="P102" s="30" t="s">
        <v>504</v>
      </c>
      <c r="Q102" s="21">
        <v>42461</v>
      </c>
      <c r="R102" s="20" t="s">
        <v>504</v>
      </c>
      <c r="S102" s="21">
        <v>42986</v>
      </c>
      <c r="T102" s="7"/>
      <c r="U102" s="7" t="s">
        <v>1367</v>
      </c>
      <c r="V102" s="7"/>
      <c r="W102" s="7"/>
      <c r="X102" s="130" t="s">
        <v>987</v>
      </c>
      <c r="Y102" s="130" t="s">
        <v>382</v>
      </c>
      <c r="Z102" s="131">
        <v>38581</v>
      </c>
      <c r="AA102" s="38" t="s">
        <v>677</v>
      </c>
      <c r="AB102" s="318">
        <v>42131</v>
      </c>
      <c r="AC102" s="318">
        <v>42983</v>
      </c>
      <c r="AD102" s="158" t="s">
        <v>998</v>
      </c>
      <c r="AE102" s="174" t="s">
        <v>1061</v>
      </c>
      <c r="AF102" s="158" t="s">
        <v>1061</v>
      </c>
      <c r="AG102" s="158"/>
      <c r="AH102" s="158"/>
      <c r="AI102" s="158" t="s">
        <v>1060</v>
      </c>
      <c r="AJ102" s="158"/>
      <c r="AK102" s="279"/>
    </row>
    <row r="103" spans="1:37" x14ac:dyDescent="0.2">
      <c r="A103" s="307" t="s">
        <v>139</v>
      </c>
      <c r="B103" s="8"/>
      <c r="C103" s="8" t="s">
        <v>113</v>
      </c>
      <c r="D103" s="8"/>
      <c r="E103" s="8" t="s">
        <v>693</v>
      </c>
      <c r="F103" s="8" t="s">
        <v>964</v>
      </c>
      <c r="G103" s="7" t="s">
        <v>56</v>
      </c>
      <c r="H103" s="8"/>
      <c r="I103" s="7" t="s">
        <v>169</v>
      </c>
      <c r="J103" s="7" t="s">
        <v>176</v>
      </c>
      <c r="K103" s="10" t="s">
        <v>384</v>
      </c>
      <c r="L103" s="93">
        <v>384</v>
      </c>
      <c r="M103" s="93"/>
      <c r="N103" s="20" t="s">
        <v>513</v>
      </c>
      <c r="O103" s="21">
        <v>42640</v>
      </c>
      <c r="P103" s="20" t="s">
        <v>513</v>
      </c>
      <c r="Q103" s="21">
        <v>41788</v>
      </c>
      <c r="R103" s="20" t="s">
        <v>513</v>
      </c>
      <c r="S103" s="21">
        <v>42114</v>
      </c>
      <c r="T103" s="7"/>
      <c r="U103" s="7"/>
      <c r="V103" s="7"/>
      <c r="W103" s="7"/>
      <c r="X103" s="130" t="s">
        <v>987</v>
      </c>
      <c r="Y103" s="130" t="s">
        <v>371</v>
      </c>
      <c r="Z103" s="131">
        <v>38383</v>
      </c>
      <c r="AA103" s="38" t="s">
        <v>1050</v>
      </c>
      <c r="AB103" s="318">
        <v>41745</v>
      </c>
      <c r="AC103" s="318">
        <v>42110</v>
      </c>
      <c r="AD103" s="158" t="s">
        <v>1061</v>
      </c>
      <c r="AE103" s="158"/>
      <c r="AF103" s="158"/>
      <c r="AG103" s="158" t="s">
        <v>1061</v>
      </c>
      <c r="AH103" s="158" t="s">
        <v>998</v>
      </c>
      <c r="AI103" s="158"/>
      <c r="AJ103" s="158" t="s">
        <v>1061</v>
      </c>
      <c r="AK103" s="279"/>
    </row>
    <row r="104" spans="1:37" x14ac:dyDescent="0.2">
      <c r="A104" s="37" t="s">
        <v>39</v>
      </c>
      <c r="B104" s="10"/>
      <c r="C104" s="7" t="s">
        <v>114</v>
      </c>
      <c r="D104" s="10"/>
      <c r="E104" s="10" t="s">
        <v>186</v>
      </c>
      <c r="F104" s="153" t="s">
        <v>975</v>
      </c>
      <c r="G104" s="7" t="s">
        <v>56</v>
      </c>
      <c r="H104" s="7" t="s">
        <v>57</v>
      </c>
      <c r="I104" s="312"/>
      <c r="J104" s="7"/>
      <c r="K104" s="7" t="s">
        <v>103</v>
      </c>
      <c r="L104" s="93">
        <v>800</v>
      </c>
      <c r="M104" s="93"/>
      <c r="N104" s="20" t="s">
        <v>563</v>
      </c>
      <c r="O104" s="21">
        <v>42257</v>
      </c>
      <c r="P104" s="20" t="s">
        <v>563</v>
      </c>
      <c r="Q104" s="21">
        <v>42725</v>
      </c>
      <c r="R104" s="29" t="s">
        <v>563</v>
      </c>
      <c r="S104" s="152">
        <v>43035</v>
      </c>
      <c r="T104" s="20" t="s">
        <v>563</v>
      </c>
      <c r="U104" s="21">
        <v>42725</v>
      </c>
      <c r="V104" s="20" t="s">
        <v>563</v>
      </c>
      <c r="W104" s="21">
        <v>42725</v>
      </c>
      <c r="X104" s="89" t="s">
        <v>989</v>
      </c>
      <c r="Y104" s="89" t="s">
        <v>38</v>
      </c>
      <c r="Z104" s="90">
        <v>40871</v>
      </c>
      <c r="AA104" s="38" t="s">
        <v>1283</v>
      </c>
      <c r="AB104" s="318">
        <v>42718</v>
      </c>
      <c r="AC104" s="319">
        <v>42843</v>
      </c>
      <c r="AD104" s="158" t="s">
        <v>1061</v>
      </c>
      <c r="AE104" s="158" t="s">
        <v>998</v>
      </c>
      <c r="AF104" s="158" t="s">
        <v>1061</v>
      </c>
      <c r="AG104" s="158" t="s">
        <v>998</v>
      </c>
      <c r="AH104" s="158" t="s">
        <v>1061</v>
      </c>
      <c r="AI104" s="158" t="s">
        <v>998</v>
      </c>
      <c r="AJ104" s="158" t="s">
        <v>1061</v>
      </c>
      <c r="AK104" s="279" t="s">
        <v>998</v>
      </c>
    </row>
    <row r="105" spans="1:37" x14ac:dyDescent="0.2">
      <c r="A105" s="26" t="s">
        <v>197</v>
      </c>
      <c r="B105" s="314"/>
      <c r="C105" s="14" t="s">
        <v>112</v>
      </c>
      <c r="D105" s="15"/>
      <c r="E105" s="15" t="s">
        <v>227</v>
      </c>
      <c r="F105" s="15" t="s">
        <v>960</v>
      </c>
      <c r="G105" s="315" t="s">
        <v>66</v>
      </c>
      <c r="H105" s="19"/>
      <c r="I105" s="19" t="s">
        <v>67</v>
      </c>
      <c r="J105" s="19" t="s">
        <v>222</v>
      </c>
      <c r="K105" s="19" t="s">
        <v>223</v>
      </c>
      <c r="L105" s="94">
        <v>220</v>
      </c>
      <c r="M105" s="94"/>
      <c r="N105" s="20" t="s">
        <v>1196</v>
      </c>
      <c r="O105" s="21">
        <v>42549</v>
      </c>
      <c r="P105" s="22" t="s">
        <v>511</v>
      </c>
      <c r="Q105" s="23">
        <v>41596</v>
      </c>
      <c r="R105" s="30" t="s">
        <v>1358</v>
      </c>
      <c r="S105" s="23">
        <v>42879</v>
      </c>
      <c r="T105" s="22" t="s">
        <v>511</v>
      </c>
      <c r="U105" s="23">
        <v>41590</v>
      </c>
      <c r="V105" s="19"/>
      <c r="W105" s="19"/>
      <c r="X105" s="156" t="s">
        <v>988</v>
      </c>
      <c r="Y105" s="138" t="s">
        <v>661</v>
      </c>
      <c r="Z105" s="139">
        <v>41647</v>
      </c>
      <c r="AA105" s="16" t="s">
        <v>893</v>
      </c>
      <c r="AB105" s="318">
        <v>42117</v>
      </c>
      <c r="AC105" s="319">
        <v>42751</v>
      </c>
      <c r="AD105" s="158" t="s">
        <v>1060</v>
      </c>
      <c r="AE105" s="158"/>
      <c r="AF105" s="158" t="s">
        <v>1061</v>
      </c>
      <c r="AG105" s="158"/>
      <c r="AH105" s="158" t="s">
        <v>998</v>
      </c>
      <c r="AI105" s="158" t="s">
        <v>1061</v>
      </c>
      <c r="AJ105" s="158"/>
      <c r="AK105" s="279" t="s">
        <v>998</v>
      </c>
    </row>
    <row r="106" spans="1:37" x14ac:dyDescent="0.2">
      <c r="A106" s="26" t="s">
        <v>1368</v>
      </c>
      <c r="B106" s="314"/>
      <c r="C106" s="15" t="s">
        <v>113</v>
      </c>
      <c r="D106" s="15" t="s">
        <v>977</v>
      </c>
      <c r="E106" s="15" t="s">
        <v>252</v>
      </c>
      <c r="F106" s="153" t="s">
        <v>975</v>
      </c>
      <c r="G106" s="314" t="s">
        <v>283</v>
      </c>
      <c r="H106" s="39"/>
      <c r="I106" s="39" t="s">
        <v>310</v>
      </c>
      <c r="J106" s="39" t="s">
        <v>311</v>
      </c>
      <c r="K106" s="39" t="s">
        <v>312</v>
      </c>
      <c r="L106" s="94">
        <v>10</v>
      </c>
      <c r="M106" s="94"/>
      <c r="N106" s="36" t="s">
        <v>1182</v>
      </c>
      <c r="O106" s="23">
        <v>42538</v>
      </c>
      <c r="P106" s="36" t="s">
        <v>475</v>
      </c>
      <c r="Q106" s="23">
        <v>41316</v>
      </c>
      <c r="R106" s="30" t="s">
        <v>1182</v>
      </c>
      <c r="S106" s="21">
        <v>42662</v>
      </c>
      <c r="T106" s="39"/>
      <c r="U106" s="39"/>
      <c r="V106" s="39"/>
      <c r="W106" s="39"/>
      <c r="X106" s="89" t="s">
        <v>989</v>
      </c>
      <c r="Y106" s="97" t="s">
        <v>553</v>
      </c>
      <c r="Z106" s="98">
        <v>41428</v>
      </c>
      <c r="AA106" s="16" t="s">
        <v>1051</v>
      </c>
      <c r="AB106" s="319">
        <v>42523</v>
      </c>
      <c r="AC106" s="319">
        <v>42839</v>
      </c>
      <c r="AD106" s="158"/>
      <c r="AE106" s="174" t="s">
        <v>1263</v>
      </c>
      <c r="AF106" s="158" t="s">
        <v>1061</v>
      </c>
      <c r="AG106" s="158"/>
      <c r="AH106" s="158"/>
      <c r="AI106" s="158" t="s">
        <v>1061</v>
      </c>
      <c r="AJ106" s="158" t="s">
        <v>998</v>
      </c>
      <c r="AK106" s="279"/>
    </row>
    <row r="107" spans="1:37" x14ac:dyDescent="0.2">
      <c r="A107" s="26" t="s">
        <v>309</v>
      </c>
      <c r="B107" s="314"/>
      <c r="C107" s="15" t="s">
        <v>113</v>
      </c>
      <c r="D107" s="15" t="s">
        <v>977</v>
      </c>
      <c r="E107" s="15" t="s">
        <v>252</v>
      </c>
      <c r="F107" s="153" t="s">
        <v>975</v>
      </c>
      <c r="G107" s="314" t="s">
        <v>283</v>
      </c>
      <c r="H107" s="39"/>
      <c r="I107" s="39" t="s">
        <v>284</v>
      </c>
      <c r="J107" s="39" t="s">
        <v>313</v>
      </c>
      <c r="K107" s="39" t="s">
        <v>312</v>
      </c>
      <c r="L107" s="94">
        <v>19</v>
      </c>
      <c r="M107" s="94"/>
      <c r="N107" s="36" t="s">
        <v>1182</v>
      </c>
      <c r="O107" s="23">
        <v>42538</v>
      </c>
      <c r="P107" s="36" t="s">
        <v>475</v>
      </c>
      <c r="Q107" s="23">
        <v>41316</v>
      </c>
      <c r="R107" s="30" t="s">
        <v>1182</v>
      </c>
      <c r="S107" s="21">
        <v>42662</v>
      </c>
      <c r="T107" s="39"/>
      <c r="U107" s="39"/>
      <c r="V107" s="39"/>
      <c r="W107" s="39"/>
      <c r="X107" s="89" t="s">
        <v>989</v>
      </c>
      <c r="Y107" s="97" t="s">
        <v>554</v>
      </c>
      <c r="Z107" s="98">
        <v>41428</v>
      </c>
      <c r="AA107" s="16" t="s">
        <v>1051</v>
      </c>
      <c r="AB107" s="319">
        <v>42523</v>
      </c>
      <c r="AC107" s="319">
        <v>42849</v>
      </c>
      <c r="AD107" s="158"/>
      <c r="AE107" s="174" t="s">
        <v>1263</v>
      </c>
      <c r="AF107" s="158" t="s">
        <v>1061</v>
      </c>
      <c r="AG107" s="158"/>
      <c r="AH107" s="158"/>
      <c r="AI107" s="158" t="s">
        <v>1061</v>
      </c>
      <c r="AJ107" s="158" t="s">
        <v>998</v>
      </c>
      <c r="AK107" s="279"/>
    </row>
    <row r="108" spans="1:37" s="278" customFormat="1" x14ac:dyDescent="0.2">
      <c r="A108" s="290" t="s">
        <v>906</v>
      </c>
      <c r="B108" s="316" t="s">
        <v>1443</v>
      </c>
      <c r="C108" s="289" t="s">
        <v>113</v>
      </c>
      <c r="D108" s="289"/>
      <c r="E108" s="289" t="s">
        <v>188</v>
      </c>
      <c r="F108" s="289" t="s">
        <v>967</v>
      </c>
      <c r="G108" s="316" t="s">
        <v>346</v>
      </c>
      <c r="H108" s="287" t="s">
        <v>347</v>
      </c>
      <c r="I108" s="287"/>
      <c r="J108" s="287"/>
      <c r="K108" s="287" t="s">
        <v>907</v>
      </c>
      <c r="L108" s="287">
        <v>92</v>
      </c>
      <c r="M108" s="287"/>
      <c r="N108" s="292" t="s">
        <v>617</v>
      </c>
      <c r="O108" s="291">
        <v>42171</v>
      </c>
      <c r="P108" s="292" t="s">
        <v>617</v>
      </c>
      <c r="Q108" s="291">
        <v>42258</v>
      </c>
      <c r="R108" s="292" t="s">
        <v>617</v>
      </c>
      <c r="S108" s="291">
        <v>42193</v>
      </c>
      <c r="T108" s="287"/>
      <c r="U108" s="287"/>
      <c r="V108" s="287"/>
      <c r="W108" s="287"/>
      <c r="X108" s="282" t="s">
        <v>989</v>
      </c>
      <c r="Y108" s="282" t="s">
        <v>1401</v>
      </c>
      <c r="Z108" s="285">
        <v>43012</v>
      </c>
      <c r="AA108" s="302" t="s">
        <v>869</v>
      </c>
      <c r="AB108" s="323">
        <v>42601</v>
      </c>
      <c r="AC108" s="323">
        <v>42699</v>
      </c>
      <c r="AD108" s="268"/>
      <c r="AE108" s="268" t="s">
        <v>1060</v>
      </c>
      <c r="AF108" s="268"/>
      <c r="AG108" s="268"/>
      <c r="AH108" s="268"/>
      <c r="AI108" s="268"/>
      <c r="AJ108" s="268"/>
      <c r="AK108" s="287"/>
    </row>
    <row r="109" spans="1:37" s="278" customFormat="1" x14ac:dyDescent="0.2">
      <c r="A109" s="290" t="s">
        <v>945</v>
      </c>
      <c r="B109" s="316" t="s">
        <v>1443</v>
      </c>
      <c r="C109" s="289" t="s">
        <v>113</v>
      </c>
      <c r="D109" s="289"/>
      <c r="E109" s="289" t="s">
        <v>188</v>
      </c>
      <c r="F109" s="289" t="s">
        <v>967</v>
      </c>
      <c r="G109" s="316" t="s">
        <v>75</v>
      </c>
      <c r="H109" s="287" t="s">
        <v>302</v>
      </c>
      <c r="I109" s="287"/>
      <c r="J109" s="287"/>
      <c r="K109" s="287" t="s">
        <v>946</v>
      </c>
      <c r="L109" s="287">
        <v>92</v>
      </c>
      <c r="M109" s="287"/>
      <c r="N109" s="292" t="s">
        <v>617</v>
      </c>
      <c r="O109" s="291">
        <v>42276</v>
      </c>
      <c r="P109" s="292" t="s">
        <v>617</v>
      </c>
      <c r="Q109" s="291">
        <v>42318</v>
      </c>
      <c r="R109" s="292" t="s">
        <v>617</v>
      </c>
      <c r="S109" s="291">
        <v>42480</v>
      </c>
      <c r="T109" s="287"/>
      <c r="U109" s="287"/>
      <c r="V109" s="287"/>
      <c r="W109" s="287"/>
      <c r="X109" s="282" t="s">
        <v>989</v>
      </c>
      <c r="Y109" s="282" t="s">
        <v>1320</v>
      </c>
      <c r="Z109" s="285">
        <v>42795</v>
      </c>
      <c r="AA109" s="302" t="s">
        <v>869</v>
      </c>
      <c r="AB109" s="323">
        <v>42529</v>
      </c>
      <c r="AC109" s="324"/>
      <c r="AD109" s="268"/>
      <c r="AE109" s="268" t="s">
        <v>998</v>
      </c>
      <c r="AF109" s="268" t="s">
        <v>1061</v>
      </c>
      <c r="AG109" s="268"/>
      <c r="AH109" s="268"/>
      <c r="AI109" s="268"/>
      <c r="AJ109" s="268"/>
      <c r="AK109" s="287"/>
    </row>
    <row r="110" spans="1:37" x14ac:dyDescent="0.2">
      <c r="A110" s="26" t="s">
        <v>847</v>
      </c>
      <c r="B110" s="314"/>
      <c r="C110" s="15" t="s">
        <v>113</v>
      </c>
      <c r="D110" s="15"/>
      <c r="E110" s="15" t="s">
        <v>188</v>
      </c>
      <c r="F110" s="15" t="s">
        <v>967</v>
      </c>
      <c r="G110" s="314" t="s">
        <v>305</v>
      </c>
      <c r="H110" s="39"/>
      <c r="I110" s="39" t="s">
        <v>714</v>
      </c>
      <c r="J110" s="39" t="s">
        <v>848</v>
      </c>
      <c r="K110" s="39" t="s">
        <v>849</v>
      </c>
      <c r="L110" s="94">
        <v>395</v>
      </c>
      <c r="M110" s="94"/>
      <c r="N110" s="36" t="s">
        <v>617</v>
      </c>
      <c r="O110" s="23">
        <v>42020</v>
      </c>
      <c r="P110" s="36" t="s">
        <v>617</v>
      </c>
      <c r="Q110" s="23">
        <v>42046</v>
      </c>
      <c r="R110" s="36" t="s">
        <v>617</v>
      </c>
      <c r="S110" s="23">
        <v>42068</v>
      </c>
      <c r="T110" s="39"/>
      <c r="U110" s="39"/>
      <c r="V110" s="39"/>
      <c r="W110" s="39"/>
      <c r="X110" s="89" t="s">
        <v>989</v>
      </c>
      <c r="Y110" s="89" t="s">
        <v>890</v>
      </c>
      <c r="Z110" s="90">
        <v>42069</v>
      </c>
      <c r="AA110" s="16" t="s">
        <v>869</v>
      </c>
      <c r="AB110" s="319"/>
      <c r="AC110" s="325"/>
      <c r="AD110" s="158"/>
      <c r="AE110" s="174" t="s">
        <v>1061</v>
      </c>
      <c r="AF110" s="158"/>
      <c r="AG110" s="158" t="s">
        <v>1061</v>
      </c>
      <c r="AH110" s="158"/>
      <c r="AI110" s="158"/>
      <c r="AJ110" s="158" t="s">
        <v>998</v>
      </c>
      <c r="AK110" s="279"/>
    </row>
    <row r="111" spans="1:37" x14ac:dyDescent="0.2">
      <c r="A111" s="26" t="s">
        <v>1064</v>
      </c>
      <c r="B111" s="314"/>
      <c r="C111" s="15" t="s">
        <v>113</v>
      </c>
      <c r="D111" s="15"/>
      <c r="E111" s="15" t="s">
        <v>188</v>
      </c>
      <c r="F111" s="15" t="s">
        <v>967</v>
      </c>
      <c r="G111" s="314" t="s">
        <v>292</v>
      </c>
      <c r="H111" s="39" t="s">
        <v>293</v>
      </c>
      <c r="I111" s="39"/>
      <c r="J111" s="39"/>
      <c r="K111" s="39" t="s">
        <v>1065</v>
      </c>
      <c r="L111" s="94">
        <v>125</v>
      </c>
      <c r="M111" s="94"/>
      <c r="N111" s="36" t="s">
        <v>617</v>
      </c>
      <c r="O111" s="23">
        <v>42333</v>
      </c>
      <c r="P111" s="36" t="s">
        <v>617</v>
      </c>
      <c r="Q111" s="23">
        <v>42460</v>
      </c>
      <c r="R111" s="36" t="s">
        <v>617</v>
      </c>
      <c r="S111" s="23">
        <v>42507</v>
      </c>
      <c r="T111" s="39"/>
      <c r="U111" s="39"/>
      <c r="V111" s="39"/>
      <c r="W111" s="39"/>
      <c r="X111" s="89" t="s">
        <v>989</v>
      </c>
      <c r="Y111" s="89" t="s">
        <v>1153</v>
      </c>
      <c r="Z111" s="90">
        <v>42510</v>
      </c>
      <c r="AA111" s="16" t="s">
        <v>869</v>
      </c>
      <c r="AB111" s="319"/>
      <c r="AC111" s="325"/>
      <c r="AD111" s="158"/>
      <c r="AE111" s="158"/>
      <c r="AF111" s="158"/>
      <c r="AG111" s="158" t="s">
        <v>1061</v>
      </c>
      <c r="AH111" s="158"/>
      <c r="AI111" s="158"/>
      <c r="AJ111" s="158"/>
      <c r="AK111" s="279"/>
    </row>
    <row r="112" spans="1:37" x14ac:dyDescent="0.2">
      <c r="A112" s="26" t="s">
        <v>1346</v>
      </c>
      <c r="B112" s="314" t="s">
        <v>643</v>
      </c>
      <c r="C112" s="17" t="s">
        <v>112</v>
      </c>
      <c r="D112" s="15"/>
      <c r="E112" s="15" t="s">
        <v>188</v>
      </c>
      <c r="F112" s="15" t="s">
        <v>967</v>
      </c>
      <c r="G112" s="314" t="s">
        <v>260</v>
      </c>
      <c r="H112" s="39" t="s">
        <v>261</v>
      </c>
      <c r="I112" s="39"/>
      <c r="J112" s="39"/>
      <c r="K112" s="39" t="s">
        <v>586</v>
      </c>
      <c r="L112" s="94">
        <v>53</v>
      </c>
      <c r="M112" s="94"/>
      <c r="N112" s="36" t="s">
        <v>617</v>
      </c>
      <c r="O112" s="23">
        <v>42326</v>
      </c>
      <c r="P112" s="36" t="s">
        <v>617</v>
      </c>
      <c r="Q112" s="23">
        <v>42467</v>
      </c>
      <c r="R112" s="36" t="s">
        <v>617</v>
      </c>
      <c r="S112" s="23">
        <v>42891</v>
      </c>
      <c r="T112" s="36" t="s">
        <v>617</v>
      </c>
      <c r="U112" s="23">
        <v>42491</v>
      </c>
      <c r="V112" s="39"/>
      <c r="W112" s="39"/>
      <c r="X112" s="89" t="s">
        <v>989</v>
      </c>
      <c r="Y112" s="100" t="s">
        <v>1345</v>
      </c>
      <c r="Z112" s="90">
        <v>42845</v>
      </c>
      <c r="AA112" s="16" t="s">
        <v>869</v>
      </c>
      <c r="AB112" s="319">
        <v>41893</v>
      </c>
      <c r="AC112" s="318">
        <v>42859</v>
      </c>
      <c r="AD112" s="158"/>
      <c r="AE112" s="174" t="s">
        <v>1061</v>
      </c>
      <c r="AF112" s="158" t="s">
        <v>1061</v>
      </c>
      <c r="AG112" s="158" t="s">
        <v>998</v>
      </c>
      <c r="AH112" s="158"/>
      <c r="AI112" s="158" t="s">
        <v>1061</v>
      </c>
      <c r="AJ112" s="158" t="s">
        <v>998</v>
      </c>
      <c r="AK112" s="279"/>
    </row>
    <row r="113" spans="1:37" x14ac:dyDescent="0.2">
      <c r="A113" s="26" t="s">
        <v>1442</v>
      </c>
      <c r="B113" s="314"/>
      <c r="C113" s="15" t="s">
        <v>113</v>
      </c>
      <c r="D113" s="15"/>
      <c r="E113" s="15" t="s">
        <v>188</v>
      </c>
      <c r="F113" s="15" t="s">
        <v>967</v>
      </c>
      <c r="G113" s="314" t="s">
        <v>305</v>
      </c>
      <c r="H113" s="39" t="s">
        <v>714</v>
      </c>
      <c r="I113" s="39"/>
      <c r="J113" s="39"/>
      <c r="K113" s="39" t="s">
        <v>715</v>
      </c>
      <c r="L113" s="94">
        <v>68</v>
      </c>
      <c r="M113" s="94"/>
      <c r="N113" s="36" t="s">
        <v>617</v>
      </c>
      <c r="O113" s="23">
        <v>42326</v>
      </c>
      <c r="P113" s="36" t="s">
        <v>617</v>
      </c>
      <c r="Q113" s="23">
        <v>42491</v>
      </c>
      <c r="R113" s="36" t="s">
        <v>617</v>
      </c>
      <c r="S113" s="23">
        <v>42556</v>
      </c>
      <c r="T113" s="39"/>
      <c r="U113" s="39"/>
      <c r="V113" s="39"/>
      <c r="W113" s="39"/>
      <c r="X113" s="89" t="s">
        <v>989</v>
      </c>
      <c r="Y113" s="89" t="s">
        <v>860</v>
      </c>
      <c r="Z113" s="90">
        <v>42068</v>
      </c>
      <c r="AA113" s="16" t="s">
        <v>869</v>
      </c>
      <c r="AB113" s="319">
        <v>42831</v>
      </c>
      <c r="AC113" s="326"/>
      <c r="AD113" s="158"/>
      <c r="AE113" s="174" t="s">
        <v>1061</v>
      </c>
      <c r="AF113" s="244" t="s">
        <v>1060</v>
      </c>
      <c r="AG113" s="158"/>
      <c r="AH113" s="158"/>
      <c r="AI113" s="158"/>
      <c r="AJ113" s="158"/>
      <c r="AK113" s="279" t="s">
        <v>1061</v>
      </c>
    </row>
    <row r="114" spans="1:37" x14ac:dyDescent="0.2">
      <c r="A114" s="26" t="s">
        <v>867</v>
      </c>
      <c r="B114" s="314"/>
      <c r="C114" s="15" t="s">
        <v>113</v>
      </c>
      <c r="D114" s="15"/>
      <c r="E114" s="15" t="s">
        <v>188</v>
      </c>
      <c r="F114" s="15" t="s">
        <v>967</v>
      </c>
      <c r="G114" s="314" t="s">
        <v>346</v>
      </c>
      <c r="H114" s="39" t="s">
        <v>347</v>
      </c>
      <c r="I114" s="39"/>
      <c r="J114" s="39"/>
      <c r="K114" s="39" t="s">
        <v>868</v>
      </c>
      <c r="L114" s="94">
        <v>125</v>
      </c>
      <c r="M114" s="94"/>
      <c r="N114" s="36" t="s">
        <v>617</v>
      </c>
      <c r="O114" s="23">
        <v>42441</v>
      </c>
      <c r="P114" s="36" t="s">
        <v>617</v>
      </c>
      <c r="Q114" s="23">
        <v>42475</v>
      </c>
      <c r="R114" s="36" t="s">
        <v>617</v>
      </c>
      <c r="S114" s="23">
        <v>42507</v>
      </c>
      <c r="T114" s="39"/>
      <c r="U114" s="39"/>
      <c r="V114" s="39"/>
      <c r="W114" s="39"/>
      <c r="X114" s="89" t="s">
        <v>989</v>
      </c>
      <c r="Y114" s="89" t="s">
        <v>910</v>
      </c>
      <c r="Z114" s="90">
        <v>42174</v>
      </c>
      <c r="AA114" s="16" t="s">
        <v>869</v>
      </c>
      <c r="AB114" s="319"/>
      <c r="AC114" s="325"/>
      <c r="AD114" s="158"/>
      <c r="AE114" s="174" t="s">
        <v>1061</v>
      </c>
      <c r="AF114" s="158"/>
      <c r="AG114" s="158" t="s">
        <v>1061</v>
      </c>
      <c r="AH114" s="158"/>
      <c r="AI114" s="158"/>
      <c r="AJ114" s="158"/>
      <c r="AK114" s="279"/>
    </row>
    <row r="115" spans="1:37" x14ac:dyDescent="0.2">
      <c r="A115" s="307" t="s">
        <v>140</v>
      </c>
      <c r="B115" s="8"/>
      <c r="C115" s="8" t="s">
        <v>113</v>
      </c>
      <c r="D115" s="8"/>
      <c r="E115" s="8" t="s">
        <v>203</v>
      </c>
      <c r="F115" s="153" t="s">
        <v>965</v>
      </c>
      <c r="G115" s="7" t="s">
        <v>56</v>
      </c>
      <c r="H115" s="8" t="s">
        <v>126</v>
      </c>
      <c r="I115" s="7"/>
      <c r="J115" s="7"/>
      <c r="K115" s="10" t="s">
        <v>141</v>
      </c>
      <c r="L115" s="93">
        <v>0</v>
      </c>
      <c r="M115" s="93"/>
      <c r="N115" s="20" t="s">
        <v>1179</v>
      </c>
      <c r="O115" s="21">
        <v>42523</v>
      </c>
      <c r="P115" s="20" t="s">
        <v>426</v>
      </c>
      <c r="Q115" s="21">
        <v>41295</v>
      </c>
      <c r="R115" s="150" t="s">
        <v>426</v>
      </c>
      <c r="S115" s="151">
        <v>41584</v>
      </c>
      <c r="T115" s="7"/>
      <c r="U115" s="7"/>
      <c r="V115" s="7"/>
      <c r="W115" s="7"/>
      <c r="X115" s="89" t="s">
        <v>989</v>
      </c>
      <c r="Y115" s="100" t="s">
        <v>699</v>
      </c>
      <c r="Z115" s="90">
        <v>41898</v>
      </c>
      <c r="AA115" s="10" t="s">
        <v>1052</v>
      </c>
      <c r="AB115" s="318">
        <v>42468</v>
      </c>
      <c r="AC115" s="320">
        <v>42095</v>
      </c>
      <c r="AD115" s="158" t="s">
        <v>1061</v>
      </c>
      <c r="AE115" s="158" t="s">
        <v>998</v>
      </c>
      <c r="AF115" s="158"/>
      <c r="AG115" s="158" t="s">
        <v>1061</v>
      </c>
      <c r="AH115" s="158"/>
      <c r="AI115" s="158"/>
      <c r="AJ115" s="158" t="s">
        <v>1060</v>
      </c>
      <c r="AK115" s="279"/>
    </row>
    <row r="116" spans="1:37" x14ac:dyDescent="0.2">
      <c r="A116" s="307" t="s">
        <v>142</v>
      </c>
      <c r="B116" s="8"/>
      <c r="C116" s="8" t="s">
        <v>113</v>
      </c>
      <c r="D116" s="8"/>
      <c r="E116" s="8" t="s">
        <v>252</v>
      </c>
      <c r="F116" s="153" t="s">
        <v>975</v>
      </c>
      <c r="G116" s="7" t="s">
        <v>56</v>
      </c>
      <c r="H116" s="8" t="s">
        <v>57</v>
      </c>
      <c r="I116" s="7"/>
      <c r="J116" s="7"/>
      <c r="K116" s="10" t="s">
        <v>360</v>
      </c>
      <c r="L116" s="93">
        <v>164</v>
      </c>
      <c r="M116" s="93"/>
      <c r="N116" s="31" t="s">
        <v>507</v>
      </c>
      <c r="O116" s="21">
        <v>43024</v>
      </c>
      <c r="P116" s="31" t="s">
        <v>507</v>
      </c>
      <c r="Q116" s="32">
        <v>43024</v>
      </c>
      <c r="R116" s="20" t="s">
        <v>507</v>
      </c>
      <c r="S116" s="21">
        <v>42215</v>
      </c>
      <c r="T116" s="7"/>
      <c r="U116" s="7"/>
      <c r="V116" s="7"/>
      <c r="W116" s="7"/>
      <c r="X116" s="89" t="s">
        <v>989</v>
      </c>
      <c r="Y116" s="100" t="s">
        <v>629</v>
      </c>
      <c r="Z116" s="90">
        <v>41710</v>
      </c>
      <c r="AA116" s="10" t="s">
        <v>1053</v>
      </c>
      <c r="AB116" s="319">
        <v>42992</v>
      </c>
      <c r="AC116" s="320">
        <v>42901</v>
      </c>
      <c r="AD116" s="158" t="s">
        <v>1061</v>
      </c>
      <c r="AE116" s="158"/>
      <c r="AF116" s="158" t="s">
        <v>1060</v>
      </c>
      <c r="AG116" s="158"/>
      <c r="AH116" s="158"/>
      <c r="AI116" s="158" t="s">
        <v>1061</v>
      </c>
      <c r="AJ116" s="158"/>
      <c r="AK116" s="279"/>
    </row>
    <row r="117" spans="1:37" x14ac:dyDescent="0.2">
      <c r="A117" s="307" t="s">
        <v>787</v>
      </c>
      <c r="B117" s="8"/>
      <c r="C117" s="8" t="s">
        <v>113</v>
      </c>
      <c r="D117" s="8" t="s">
        <v>977</v>
      </c>
      <c r="E117" s="8" t="s">
        <v>252</v>
      </c>
      <c r="F117" s="153" t="s">
        <v>975</v>
      </c>
      <c r="G117" s="7" t="s">
        <v>56</v>
      </c>
      <c r="H117" s="8"/>
      <c r="I117" s="7" t="s">
        <v>165</v>
      </c>
      <c r="J117" s="7" t="s">
        <v>174</v>
      </c>
      <c r="K117" s="10" t="s">
        <v>788</v>
      </c>
      <c r="L117" s="93">
        <v>1.5</v>
      </c>
      <c r="M117" s="93"/>
      <c r="N117" s="20" t="s">
        <v>790</v>
      </c>
      <c r="O117" s="21">
        <v>42629</v>
      </c>
      <c r="P117" s="20" t="s">
        <v>790</v>
      </c>
      <c r="Q117" s="21">
        <v>42004</v>
      </c>
      <c r="R117" s="20" t="s">
        <v>790</v>
      </c>
      <c r="S117" s="21">
        <v>41996</v>
      </c>
      <c r="T117" s="10"/>
      <c r="U117" s="10"/>
      <c r="V117" s="10"/>
      <c r="W117" s="10"/>
      <c r="X117" s="89" t="s">
        <v>989</v>
      </c>
      <c r="Y117" s="89" t="s">
        <v>851</v>
      </c>
      <c r="Z117" s="90">
        <v>42020</v>
      </c>
      <c r="AA117" s="10" t="s">
        <v>789</v>
      </c>
      <c r="AB117" s="318">
        <v>41985</v>
      </c>
      <c r="AC117" s="320">
        <v>42307</v>
      </c>
      <c r="AD117" s="158" t="s">
        <v>1061</v>
      </c>
      <c r="AE117" s="158"/>
      <c r="AF117" s="158"/>
      <c r="AG117" s="158" t="s">
        <v>1061</v>
      </c>
      <c r="AH117" s="158" t="s">
        <v>998</v>
      </c>
      <c r="AI117" s="158"/>
      <c r="AJ117" s="158" t="s">
        <v>1061</v>
      </c>
      <c r="AK117" s="279"/>
    </row>
    <row r="118" spans="1:37" x14ac:dyDescent="0.2">
      <c r="A118" s="307" t="s">
        <v>361</v>
      </c>
      <c r="B118" s="8"/>
      <c r="C118" s="8" t="s">
        <v>113</v>
      </c>
      <c r="D118" s="8"/>
      <c r="E118" s="8" t="s">
        <v>694</v>
      </c>
      <c r="F118" s="8" t="s">
        <v>963</v>
      </c>
      <c r="G118" s="7" t="s">
        <v>61</v>
      </c>
      <c r="H118" s="8" t="s">
        <v>235</v>
      </c>
      <c r="I118" s="7"/>
      <c r="J118" s="7"/>
      <c r="K118" s="10" t="s">
        <v>362</v>
      </c>
      <c r="L118" s="93">
        <v>100</v>
      </c>
      <c r="M118" s="93"/>
      <c r="N118" s="20" t="s">
        <v>1246</v>
      </c>
      <c r="O118" s="21">
        <v>42690</v>
      </c>
      <c r="P118" s="31" t="s">
        <v>1246</v>
      </c>
      <c r="Q118" s="32">
        <v>43031</v>
      </c>
      <c r="R118" s="20" t="s">
        <v>1246</v>
      </c>
      <c r="S118" s="21">
        <v>42678</v>
      </c>
      <c r="T118" s="7"/>
      <c r="U118" s="7"/>
      <c r="V118" s="7"/>
      <c r="W118" s="7"/>
      <c r="X118" s="89" t="s">
        <v>989</v>
      </c>
      <c r="Y118" s="100" t="s">
        <v>684</v>
      </c>
      <c r="Z118" s="90">
        <v>41865</v>
      </c>
      <c r="AA118" s="10" t="s">
        <v>1054</v>
      </c>
      <c r="AB118" s="318">
        <v>42634</v>
      </c>
      <c r="AC118" s="320">
        <v>42929</v>
      </c>
      <c r="AD118" s="158" t="s">
        <v>1061</v>
      </c>
      <c r="AE118" s="158" t="s">
        <v>998</v>
      </c>
      <c r="AF118" s="158"/>
      <c r="AG118" s="158" t="s">
        <v>1061</v>
      </c>
      <c r="AH118" s="158"/>
      <c r="AI118" s="158"/>
      <c r="AJ118" s="158" t="s">
        <v>1060</v>
      </c>
      <c r="AK118" s="279"/>
    </row>
    <row r="119" spans="1:37" x14ac:dyDescent="0.2">
      <c r="A119" s="26" t="s">
        <v>852</v>
      </c>
      <c r="B119" s="314"/>
      <c r="C119" s="14" t="s">
        <v>114</v>
      </c>
      <c r="D119" s="15" t="s">
        <v>977</v>
      </c>
      <c r="E119" s="15" t="s">
        <v>184</v>
      </c>
      <c r="F119" s="15" t="s">
        <v>963</v>
      </c>
      <c r="G119" s="315" t="s">
        <v>61</v>
      </c>
      <c r="H119" s="19" t="s">
        <v>225</v>
      </c>
      <c r="I119" s="19"/>
      <c r="J119" s="19"/>
      <c r="K119" s="19" t="s">
        <v>226</v>
      </c>
      <c r="L119" s="94">
        <v>271</v>
      </c>
      <c r="M119" s="94"/>
      <c r="N119" s="22" t="s">
        <v>854</v>
      </c>
      <c r="O119" s="23">
        <v>42333</v>
      </c>
      <c r="P119" s="22" t="s">
        <v>854</v>
      </c>
      <c r="Q119" s="23">
        <v>42471</v>
      </c>
      <c r="R119" s="22" t="s">
        <v>854</v>
      </c>
      <c r="S119" s="23">
        <v>42530</v>
      </c>
      <c r="T119" s="22" t="s">
        <v>854</v>
      </c>
      <c r="U119" s="23">
        <v>42471</v>
      </c>
      <c r="V119" s="22" t="s">
        <v>854</v>
      </c>
      <c r="W119" s="23">
        <v>42471</v>
      </c>
      <c r="X119" s="130" t="s">
        <v>987</v>
      </c>
      <c r="Y119" s="132" t="s">
        <v>199</v>
      </c>
      <c r="Z119" s="134">
        <v>39447</v>
      </c>
      <c r="AA119" s="103" t="s">
        <v>853</v>
      </c>
      <c r="AB119" s="318">
        <v>42326</v>
      </c>
      <c r="AC119" s="320">
        <v>42927</v>
      </c>
      <c r="AD119" s="158" t="s">
        <v>1060</v>
      </c>
      <c r="AE119" s="174" t="s">
        <v>1061</v>
      </c>
      <c r="AF119" s="158" t="s">
        <v>1061</v>
      </c>
      <c r="AG119" s="158" t="s">
        <v>998</v>
      </c>
      <c r="AH119" s="158" t="s">
        <v>1061</v>
      </c>
      <c r="AI119" s="158" t="s">
        <v>998</v>
      </c>
      <c r="AJ119" s="158" t="s">
        <v>1061</v>
      </c>
      <c r="AK119" s="279" t="s">
        <v>998</v>
      </c>
    </row>
    <row r="120" spans="1:37" s="35" customFormat="1" x14ac:dyDescent="0.2">
      <c r="A120" s="37" t="s">
        <v>37</v>
      </c>
      <c r="B120" s="10"/>
      <c r="C120" s="7" t="s">
        <v>112</v>
      </c>
      <c r="D120" s="10" t="s">
        <v>977</v>
      </c>
      <c r="E120" s="10" t="s">
        <v>185</v>
      </c>
      <c r="F120" s="10" t="s">
        <v>963</v>
      </c>
      <c r="G120" s="7" t="s">
        <v>56</v>
      </c>
      <c r="H120" s="7" t="s">
        <v>88</v>
      </c>
      <c r="I120" s="312"/>
      <c r="J120" s="7"/>
      <c r="K120" s="7" t="s">
        <v>102</v>
      </c>
      <c r="L120" s="93">
        <v>175</v>
      </c>
      <c r="M120" s="93"/>
      <c r="N120" s="20" t="s">
        <v>517</v>
      </c>
      <c r="O120" s="21">
        <v>42186</v>
      </c>
      <c r="P120" s="20" t="s">
        <v>517</v>
      </c>
      <c r="Q120" s="21">
        <v>42118</v>
      </c>
      <c r="R120" s="20" t="s">
        <v>517</v>
      </c>
      <c r="S120" s="21">
        <v>42200</v>
      </c>
      <c r="T120" s="20" t="s">
        <v>517</v>
      </c>
      <c r="U120" s="21">
        <v>41722</v>
      </c>
      <c r="V120" s="7"/>
      <c r="W120" s="7"/>
      <c r="X120" s="89" t="s">
        <v>989</v>
      </c>
      <c r="Y120" s="89" t="s">
        <v>36</v>
      </c>
      <c r="Z120" s="90">
        <v>40871</v>
      </c>
      <c r="AA120" s="38" t="s">
        <v>917</v>
      </c>
      <c r="AB120" s="318">
        <v>42902</v>
      </c>
      <c r="AC120" s="320">
        <v>42096</v>
      </c>
      <c r="AD120" s="158" t="s">
        <v>1061</v>
      </c>
      <c r="AE120" s="158"/>
      <c r="AF120" s="244" t="s">
        <v>998</v>
      </c>
      <c r="AG120" s="158"/>
      <c r="AH120" s="158" t="s">
        <v>1061</v>
      </c>
      <c r="AI120" s="158" t="s">
        <v>998</v>
      </c>
      <c r="AJ120" s="158"/>
      <c r="AK120" s="279" t="s">
        <v>1061</v>
      </c>
    </row>
    <row r="121" spans="1:37" s="35" customFormat="1" x14ac:dyDescent="0.2">
      <c r="A121" s="37" t="s">
        <v>35</v>
      </c>
      <c r="B121" s="10"/>
      <c r="C121" s="7" t="s">
        <v>112</v>
      </c>
      <c r="D121" s="10"/>
      <c r="E121" s="10" t="s">
        <v>182</v>
      </c>
      <c r="F121" s="10" t="s">
        <v>959</v>
      </c>
      <c r="G121" s="7" t="s">
        <v>56</v>
      </c>
      <c r="H121" s="7" t="s">
        <v>57</v>
      </c>
      <c r="I121" s="312"/>
      <c r="J121" s="7"/>
      <c r="K121" s="7" t="s">
        <v>657</v>
      </c>
      <c r="L121" s="93">
        <v>408</v>
      </c>
      <c r="M121" s="93"/>
      <c r="N121" s="20" t="s">
        <v>656</v>
      </c>
      <c r="O121" s="21">
        <v>42720</v>
      </c>
      <c r="P121" s="20" t="s">
        <v>656</v>
      </c>
      <c r="Q121" s="21">
        <v>42039</v>
      </c>
      <c r="R121" s="20" t="s">
        <v>656</v>
      </c>
      <c r="S121" s="21">
        <v>42187</v>
      </c>
      <c r="T121" s="20" t="s">
        <v>656</v>
      </c>
      <c r="U121" s="21">
        <v>42039</v>
      </c>
      <c r="V121" s="7"/>
      <c r="W121" s="7"/>
      <c r="X121" s="89" t="s">
        <v>989</v>
      </c>
      <c r="Y121" s="89" t="s">
        <v>34</v>
      </c>
      <c r="Z121" s="90">
        <v>40871</v>
      </c>
      <c r="AA121" s="38" t="s">
        <v>1003</v>
      </c>
      <c r="AB121" s="318">
        <v>42677</v>
      </c>
      <c r="AC121" s="320">
        <v>42073</v>
      </c>
      <c r="AD121" s="158" t="s">
        <v>1061</v>
      </c>
      <c r="AE121" s="158" t="s">
        <v>998</v>
      </c>
      <c r="AF121" s="158"/>
      <c r="AG121" s="158" t="s">
        <v>1061</v>
      </c>
      <c r="AH121" s="158" t="s">
        <v>998</v>
      </c>
      <c r="AI121" s="158"/>
      <c r="AJ121" s="158" t="s">
        <v>1061</v>
      </c>
      <c r="AK121" s="279" t="s">
        <v>998</v>
      </c>
    </row>
    <row r="122" spans="1:37" x14ac:dyDescent="0.2">
      <c r="A122" s="26" t="s">
        <v>911</v>
      </c>
      <c r="B122" s="314"/>
      <c r="C122" s="14" t="s">
        <v>114</v>
      </c>
      <c r="D122" s="15"/>
      <c r="E122" s="15" t="s">
        <v>228</v>
      </c>
      <c r="F122" s="15" t="s">
        <v>959</v>
      </c>
      <c r="G122" s="315" t="s">
        <v>75</v>
      </c>
      <c r="H122" s="19"/>
      <c r="I122" s="19" t="s">
        <v>229</v>
      </c>
      <c r="J122" s="19" t="s">
        <v>230</v>
      </c>
      <c r="K122" s="19" t="s">
        <v>231</v>
      </c>
      <c r="L122" s="94">
        <v>638</v>
      </c>
      <c r="M122" s="94"/>
      <c r="N122" s="22" t="s">
        <v>1157</v>
      </c>
      <c r="O122" s="23">
        <v>42514</v>
      </c>
      <c r="P122" s="22" t="s">
        <v>1157</v>
      </c>
      <c r="Q122" s="23">
        <v>42733</v>
      </c>
      <c r="R122" s="22" t="s">
        <v>1157</v>
      </c>
      <c r="S122" s="23">
        <v>42814</v>
      </c>
      <c r="T122" s="22" t="s">
        <v>1157</v>
      </c>
      <c r="U122" s="23">
        <v>42733</v>
      </c>
      <c r="V122" s="22" t="s">
        <v>1157</v>
      </c>
      <c r="W122" s="23">
        <v>42733</v>
      </c>
      <c r="X122" s="156" t="s">
        <v>988</v>
      </c>
      <c r="Y122" s="138" t="s">
        <v>662</v>
      </c>
      <c r="Z122" s="139">
        <v>41222</v>
      </c>
      <c r="AA122" s="38" t="s">
        <v>912</v>
      </c>
      <c r="AB122" s="318">
        <v>42172</v>
      </c>
      <c r="AC122" s="320">
        <v>42822</v>
      </c>
      <c r="AD122" s="158" t="s">
        <v>1060</v>
      </c>
      <c r="AE122" s="158"/>
      <c r="AF122" s="158" t="s">
        <v>1061</v>
      </c>
      <c r="AG122" s="158" t="s">
        <v>998</v>
      </c>
      <c r="AH122" s="158" t="s">
        <v>1061</v>
      </c>
      <c r="AI122" s="158" t="s">
        <v>998</v>
      </c>
      <c r="AJ122" s="158" t="s">
        <v>1061</v>
      </c>
      <c r="AK122" s="279" t="s">
        <v>998</v>
      </c>
    </row>
    <row r="123" spans="1:37" x14ac:dyDescent="0.2">
      <c r="A123" s="26" t="s">
        <v>515</v>
      </c>
      <c r="B123" s="314"/>
      <c r="C123" s="15" t="s">
        <v>114</v>
      </c>
      <c r="D123" s="15"/>
      <c r="E123" s="15" t="s">
        <v>228</v>
      </c>
      <c r="F123" s="15" t="s">
        <v>966</v>
      </c>
      <c r="G123" s="314" t="s">
        <v>56</v>
      </c>
      <c r="H123" s="19"/>
      <c r="I123" s="19" t="s">
        <v>172</v>
      </c>
      <c r="J123" s="19" t="s">
        <v>232</v>
      </c>
      <c r="K123" s="19" t="s">
        <v>1211</v>
      </c>
      <c r="L123" s="94">
        <v>900</v>
      </c>
      <c r="M123" s="94"/>
      <c r="N123" s="20" t="s">
        <v>562</v>
      </c>
      <c r="O123" s="21">
        <v>42629</v>
      </c>
      <c r="P123" s="22" t="s">
        <v>562</v>
      </c>
      <c r="Q123" s="23">
        <v>43027</v>
      </c>
      <c r="R123" s="144" t="s">
        <v>1367</v>
      </c>
      <c r="S123" s="264" t="s">
        <v>1367</v>
      </c>
      <c r="T123" s="22" t="s">
        <v>562</v>
      </c>
      <c r="U123" s="23">
        <v>43027</v>
      </c>
      <c r="V123" s="22" t="s">
        <v>562</v>
      </c>
      <c r="W123" s="23">
        <v>43027</v>
      </c>
      <c r="X123" s="156" t="s">
        <v>988</v>
      </c>
      <c r="Y123" s="138" t="s">
        <v>891</v>
      </c>
      <c r="Z123" s="139">
        <v>42100</v>
      </c>
      <c r="AA123" s="16" t="s">
        <v>892</v>
      </c>
      <c r="AB123" s="318">
        <v>42067</v>
      </c>
      <c r="AC123" s="320">
        <v>42774</v>
      </c>
      <c r="AD123" s="158" t="s">
        <v>1060</v>
      </c>
      <c r="AE123" s="158"/>
      <c r="AF123" s="158" t="s">
        <v>1061</v>
      </c>
      <c r="AG123" s="158" t="s">
        <v>998</v>
      </c>
      <c r="AH123" s="158" t="s">
        <v>1061</v>
      </c>
      <c r="AI123" s="158" t="s">
        <v>998</v>
      </c>
      <c r="AJ123" s="158" t="s">
        <v>1061</v>
      </c>
      <c r="AK123" s="279" t="s">
        <v>998</v>
      </c>
    </row>
    <row r="124" spans="1:37" x14ac:dyDescent="0.2">
      <c r="A124" s="26" t="s">
        <v>602</v>
      </c>
      <c r="B124" s="314"/>
      <c r="C124" s="15" t="s">
        <v>113</v>
      </c>
      <c r="D124" s="15"/>
      <c r="E124" s="15" t="s">
        <v>188</v>
      </c>
      <c r="F124" s="15" t="s">
        <v>967</v>
      </c>
      <c r="G124" s="314" t="s">
        <v>72</v>
      </c>
      <c r="H124" s="39"/>
      <c r="I124" s="39" t="s">
        <v>603</v>
      </c>
      <c r="J124" s="39" t="s">
        <v>604</v>
      </c>
      <c r="K124" s="39" t="s">
        <v>605</v>
      </c>
      <c r="L124" s="94">
        <v>344</v>
      </c>
      <c r="M124" s="94"/>
      <c r="N124" s="20" t="s">
        <v>606</v>
      </c>
      <c r="O124" s="21">
        <v>42649</v>
      </c>
      <c r="P124" s="22" t="s">
        <v>606</v>
      </c>
      <c r="Q124" s="23">
        <v>41808</v>
      </c>
      <c r="R124" s="22" t="s">
        <v>606</v>
      </c>
      <c r="S124" s="23">
        <v>41991</v>
      </c>
      <c r="T124" s="39"/>
      <c r="U124" s="40"/>
      <c r="V124" s="39"/>
      <c r="W124" s="40"/>
      <c r="X124" s="89" t="s">
        <v>989</v>
      </c>
      <c r="Y124" s="89" t="s">
        <v>836</v>
      </c>
      <c r="Z124" s="90">
        <v>41995</v>
      </c>
      <c r="AA124" s="16" t="s">
        <v>1055</v>
      </c>
      <c r="AB124" s="319">
        <v>41738</v>
      </c>
      <c r="AC124" s="320">
        <v>42881</v>
      </c>
      <c r="AD124" s="158"/>
      <c r="AE124" s="158"/>
      <c r="AF124" s="158" t="s">
        <v>1061</v>
      </c>
      <c r="AG124" s="158"/>
      <c r="AH124" s="158" t="s">
        <v>998</v>
      </c>
      <c r="AI124" s="158"/>
      <c r="AJ124" s="158"/>
      <c r="AK124" s="279" t="s">
        <v>1061</v>
      </c>
    </row>
    <row r="125" spans="1:37" x14ac:dyDescent="0.2">
      <c r="A125" s="26" t="s">
        <v>318</v>
      </c>
      <c r="B125" s="314"/>
      <c r="C125" s="15" t="s">
        <v>113</v>
      </c>
      <c r="D125" s="15"/>
      <c r="E125" s="15" t="s">
        <v>193</v>
      </c>
      <c r="F125" s="8" t="s">
        <v>973</v>
      </c>
      <c r="G125" s="314" t="s">
        <v>260</v>
      </c>
      <c r="H125" s="19"/>
      <c r="I125" s="19" t="s">
        <v>319</v>
      </c>
      <c r="J125" s="19" t="s">
        <v>320</v>
      </c>
      <c r="K125" s="19" t="s">
        <v>321</v>
      </c>
      <c r="L125" s="94">
        <v>461</v>
      </c>
      <c r="M125" s="94"/>
      <c r="N125" s="20" t="s">
        <v>1208</v>
      </c>
      <c r="O125" s="21">
        <v>42620</v>
      </c>
      <c r="P125" s="92" t="s">
        <v>1208</v>
      </c>
      <c r="Q125" s="24">
        <v>42976</v>
      </c>
      <c r="R125" s="144" t="s">
        <v>1367</v>
      </c>
      <c r="S125" s="264" t="s">
        <v>1367</v>
      </c>
      <c r="T125" s="19"/>
      <c r="U125" s="19"/>
      <c r="V125" s="19"/>
      <c r="W125" s="19"/>
      <c r="X125" s="89" t="s">
        <v>989</v>
      </c>
      <c r="Y125" s="100" t="s">
        <v>689</v>
      </c>
      <c r="Z125" s="90">
        <v>41887</v>
      </c>
      <c r="AA125" s="16" t="s">
        <v>1174</v>
      </c>
      <c r="AB125" s="318">
        <v>40708</v>
      </c>
      <c r="AC125" s="320">
        <v>42879</v>
      </c>
      <c r="AD125" s="158"/>
      <c r="AE125" s="174" t="s">
        <v>1060</v>
      </c>
      <c r="AF125" s="158" t="s">
        <v>1061</v>
      </c>
      <c r="AG125" s="158" t="s">
        <v>998</v>
      </c>
      <c r="AH125" s="158"/>
      <c r="AI125" s="158" t="s">
        <v>1061</v>
      </c>
      <c r="AJ125" s="158"/>
      <c r="AK125" s="279"/>
    </row>
    <row r="126" spans="1:37" x14ac:dyDescent="0.2">
      <c r="A126" s="26" t="s">
        <v>422</v>
      </c>
      <c r="B126" s="314"/>
      <c r="C126" s="15" t="s">
        <v>113</v>
      </c>
      <c r="D126" s="15"/>
      <c r="E126" s="15" t="s">
        <v>193</v>
      </c>
      <c r="F126" s="8" t="s">
        <v>973</v>
      </c>
      <c r="G126" s="314" t="s">
        <v>69</v>
      </c>
      <c r="H126" s="39" t="s">
        <v>70</v>
      </c>
      <c r="I126" s="39"/>
      <c r="J126" s="39"/>
      <c r="K126" s="39" t="s">
        <v>1356</v>
      </c>
      <c r="L126" s="94">
        <v>196</v>
      </c>
      <c r="M126" s="94"/>
      <c r="N126" s="22" t="s">
        <v>1015</v>
      </c>
      <c r="O126" s="23">
        <v>42866</v>
      </c>
      <c r="P126" s="22" t="s">
        <v>1015</v>
      </c>
      <c r="Q126" s="23">
        <v>42759</v>
      </c>
      <c r="R126" s="22" t="s">
        <v>1015</v>
      </c>
      <c r="S126" s="23">
        <v>42908</v>
      </c>
      <c r="T126" s="39"/>
      <c r="U126" s="40"/>
      <c r="V126" s="39"/>
      <c r="W126" s="39"/>
      <c r="X126" s="89" t="s">
        <v>989</v>
      </c>
      <c r="Y126" s="147" t="s">
        <v>1357</v>
      </c>
      <c r="Z126" s="90">
        <v>41674</v>
      </c>
      <c r="AA126" s="16" t="s">
        <v>1056</v>
      </c>
      <c r="AB126" s="319">
        <v>42950</v>
      </c>
      <c r="AC126" s="320">
        <v>42307</v>
      </c>
      <c r="AD126" s="158" t="s">
        <v>1061</v>
      </c>
      <c r="AE126" s="158"/>
      <c r="AF126" s="244" t="s">
        <v>998</v>
      </c>
      <c r="AG126" s="158" t="s">
        <v>1061</v>
      </c>
      <c r="AH126" s="158"/>
      <c r="AI126" s="158"/>
      <c r="AJ126" s="158" t="s">
        <v>1061</v>
      </c>
      <c r="AK126" s="279"/>
    </row>
    <row r="127" spans="1:37" x14ac:dyDescent="0.2">
      <c r="A127" s="37" t="s">
        <v>33</v>
      </c>
      <c r="B127" s="10"/>
      <c r="C127" s="7" t="s">
        <v>112</v>
      </c>
      <c r="D127" s="10"/>
      <c r="E127" s="10" t="s">
        <v>182</v>
      </c>
      <c r="F127" s="10" t="s">
        <v>959</v>
      </c>
      <c r="G127" s="7" t="s">
        <v>56</v>
      </c>
      <c r="H127" s="7" t="s">
        <v>57</v>
      </c>
      <c r="I127" s="312"/>
      <c r="J127" s="7"/>
      <c r="K127" s="7" t="s">
        <v>100</v>
      </c>
      <c r="L127" s="93">
        <v>498</v>
      </c>
      <c r="M127" s="93"/>
      <c r="N127" s="20" t="s">
        <v>1241</v>
      </c>
      <c r="O127" s="21">
        <v>42664</v>
      </c>
      <c r="P127" s="20" t="s">
        <v>626</v>
      </c>
      <c r="Q127" s="21">
        <v>41780</v>
      </c>
      <c r="R127" s="20" t="s">
        <v>626</v>
      </c>
      <c r="S127" s="21">
        <v>42286</v>
      </c>
      <c r="T127" s="20" t="s">
        <v>626</v>
      </c>
      <c r="U127" s="21">
        <v>42175</v>
      </c>
      <c r="V127" s="7"/>
      <c r="W127" s="7"/>
      <c r="X127" s="89" t="s">
        <v>989</v>
      </c>
      <c r="Y127" s="89" t="s">
        <v>32</v>
      </c>
      <c r="Z127" s="90">
        <v>40875</v>
      </c>
      <c r="AA127" s="38" t="s">
        <v>856</v>
      </c>
      <c r="AB127" s="318">
        <v>42887</v>
      </c>
      <c r="AC127" s="320">
        <v>42250</v>
      </c>
      <c r="AD127" s="158" t="s">
        <v>1061</v>
      </c>
      <c r="AE127" s="158"/>
      <c r="AF127" s="244" t="s">
        <v>998</v>
      </c>
      <c r="AG127" s="158"/>
      <c r="AH127" s="158" t="s">
        <v>1061</v>
      </c>
      <c r="AI127" s="158" t="s">
        <v>998</v>
      </c>
      <c r="AJ127" s="158"/>
      <c r="AK127" s="279" t="s">
        <v>1061</v>
      </c>
    </row>
    <row r="128" spans="1:37" x14ac:dyDescent="0.2">
      <c r="A128" s="26" t="s">
        <v>550</v>
      </c>
      <c r="B128" s="314"/>
      <c r="C128" s="15" t="s">
        <v>114</v>
      </c>
      <c r="D128" s="15"/>
      <c r="E128" s="15" t="s">
        <v>182</v>
      </c>
      <c r="F128" s="15" t="s">
        <v>959</v>
      </c>
      <c r="G128" s="314" t="s">
        <v>56</v>
      </c>
      <c r="H128" s="39" t="s">
        <v>88</v>
      </c>
      <c r="I128" s="39"/>
      <c r="J128" s="39"/>
      <c r="K128" s="39" t="s">
        <v>508</v>
      </c>
      <c r="L128" s="94">
        <v>386</v>
      </c>
      <c r="M128" s="94"/>
      <c r="N128" s="20" t="s">
        <v>1241</v>
      </c>
      <c r="O128" s="21">
        <v>42669</v>
      </c>
      <c r="P128" s="22" t="s">
        <v>551</v>
      </c>
      <c r="Q128" s="23">
        <v>42171</v>
      </c>
      <c r="R128" s="36" t="s">
        <v>551</v>
      </c>
      <c r="S128" s="23">
        <v>42272</v>
      </c>
      <c r="T128" s="39"/>
      <c r="U128" s="40"/>
      <c r="V128" s="22" t="s">
        <v>551</v>
      </c>
      <c r="W128" s="23">
        <v>42171</v>
      </c>
      <c r="X128" s="89" t="s">
        <v>989</v>
      </c>
      <c r="Y128" s="100" t="s">
        <v>658</v>
      </c>
      <c r="Z128" s="90">
        <v>41765</v>
      </c>
      <c r="AA128" s="16" t="s">
        <v>856</v>
      </c>
      <c r="AB128" s="319">
        <v>41990</v>
      </c>
      <c r="AC128" s="320">
        <v>42250</v>
      </c>
      <c r="AD128" s="158" t="s">
        <v>1061</v>
      </c>
      <c r="AE128" s="174" t="s">
        <v>1061</v>
      </c>
      <c r="AF128" s="158" t="s">
        <v>998</v>
      </c>
      <c r="AG128" s="158" t="s">
        <v>1061</v>
      </c>
      <c r="AH128" s="158" t="s">
        <v>998</v>
      </c>
      <c r="AI128" s="158" t="s">
        <v>1061</v>
      </c>
      <c r="AJ128" s="158" t="s">
        <v>998</v>
      </c>
      <c r="AK128" s="279" t="s">
        <v>1061</v>
      </c>
    </row>
    <row r="129" spans="1:37" s="278" customFormat="1" x14ac:dyDescent="0.2">
      <c r="A129" s="290" t="s">
        <v>1323</v>
      </c>
      <c r="B129" s="316" t="s">
        <v>1341</v>
      </c>
      <c r="C129" s="289" t="s">
        <v>1340</v>
      </c>
      <c r="D129" s="289"/>
      <c r="E129" s="289" t="s">
        <v>1326</v>
      </c>
      <c r="F129" s="289" t="s">
        <v>1327</v>
      </c>
      <c r="G129" s="316" t="s">
        <v>56</v>
      </c>
      <c r="H129" s="287" t="s">
        <v>88</v>
      </c>
      <c r="I129" s="287"/>
      <c r="J129" s="287"/>
      <c r="K129" s="287" t="s">
        <v>1328</v>
      </c>
      <c r="L129" s="287"/>
      <c r="M129" s="287"/>
      <c r="N129" s="282" t="s">
        <v>1324</v>
      </c>
      <c r="O129" s="285">
        <v>42844</v>
      </c>
      <c r="P129" s="287"/>
      <c r="Q129" s="291"/>
      <c r="R129" s="292"/>
      <c r="S129" s="291"/>
      <c r="T129" s="287"/>
      <c r="U129" s="291"/>
      <c r="V129" s="287"/>
      <c r="W129" s="291"/>
      <c r="X129" s="282" t="s">
        <v>1348</v>
      </c>
      <c r="Y129" s="286" t="s">
        <v>1347</v>
      </c>
      <c r="Z129" s="285">
        <v>42846</v>
      </c>
      <c r="AA129" s="287" t="s">
        <v>1325</v>
      </c>
      <c r="AB129" s="323">
        <v>42818</v>
      </c>
      <c r="AC129" s="323"/>
      <c r="AD129" s="268"/>
      <c r="AE129" s="269"/>
      <c r="AF129" s="268" t="s">
        <v>998</v>
      </c>
      <c r="AG129" s="268"/>
      <c r="AH129" s="268"/>
      <c r="AI129" s="268"/>
      <c r="AJ129" s="268"/>
      <c r="AK129" s="287"/>
    </row>
    <row r="130" spans="1:37" s="274" customFormat="1" x14ac:dyDescent="0.2">
      <c r="A130" s="249" t="s">
        <v>1312</v>
      </c>
      <c r="B130" s="39" t="s">
        <v>1359</v>
      </c>
      <c r="C130" s="19" t="s">
        <v>113</v>
      </c>
      <c r="D130" s="39"/>
      <c r="E130" s="39" t="s">
        <v>193</v>
      </c>
      <c r="F130" s="39" t="s">
        <v>973</v>
      </c>
      <c r="G130" s="19" t="s">
        <v>56</v>
      </c>
      <c r="H130" s="19"/>
      <c r="I130" s="19" t="s">
        <v>165</v>
      </c>
      <c r="J130" s="19" t="s">
        <v>1313</v>
      </c>
      <c r="K130" s="19" t="s">
        <v>1063</v>
      </c>
      <c r="L130" s="94">
        <v>1700</v>
      </c>
      <c r="M130" s="94"/>
      <c r="N130" s="22" t="s">
        <v>1314</v>
      </c>
      <c r="O130" s="23">
        <v>42809</v>
      </c>
      <c r="P130" s="22" t="s">
        <v>1314</v>
      </c>
      <c r="Q130" s="23">
        <v>42831</v>
      </c>
      <c r="R130" s="22" t="s">
        <v>1314</v>
      </c>
      <c r="S130" s="23">
        <v>42814</v>
      </c>
      <c r="T130" s="19"/>
      <c r="U130" s="19"/>
      <c r="V130" s="19"/>
      <c r="W130" s="19"/>
      <c r="X130" s="245" t="s">
        <v>989</v>
      </c>
      <c r="Y130" s="245" t="s">
        <v>1337</v>
      </c>
      <c r="Z130" s="90">
        <v>42845</v>
      </c>
      <c r="AA130" s="19" t="s">
        <v>1315</v>
      </c>
      <c r="AB130" s="318">
        <v>42887</v>
      </c>
      <c r="AC130" s="320"/>
      <c r="AD130" s="158"/>
      <c r="AE130" s="158"/>
      <c r="AF130" s="244" t="s">
        <v>998</v>
      </c>
      <c r="AG130" s="158" t="s">
        <v>1061</v>
      </c>
      <c r="AH130" s="158"/>
      <c r="AI130" s="158"/>
      <c r="AJ130" s="158" t="s">
        <v>1061</v>
      </c>
      <c r="AK130" s="279"/>
    </row>
    <row r="131" spans="1:37" x14ac:dyDescent="0.2">
      <c r="A131" s="37" t="s">
        <v>31</v>
      </c>
      <c r="B131" s="10"/>
      <c r="C131" s="7" t="s">
        <v>114</v>
      </c>
      <c r="D131" s="10"/>
      <c r="E131" s="10" t="s">
        <v>182</v>
      </c>
      <c r="F131" s="10" t="s">
        <v>959</v>
      </c>
      <c r="G131" s="7" t="s">
        <v>56</v>
      </c>
      <c r="H131" s="7"/>
      <c r="I131" s="312" t="s">
        <v>170</v>
      </c>
      <c r="J131" s="7" t="s">
        <v>98</v>
      </c>
      <c r="K131" s="7" t="s">
        <v>99</v>
      </c>
      <c r="L131" s="93">
        <v>498</v>
      </c>
      <c r="M131" s="93"/>
      <c r="N131" s="20" t="s">
        <v>1108</v>
      </c>
      <c r="O131" s="21">
        <v>42491</v>
      </c>
      <c r="P131" s="20" t="s">
        <v>510</v>
      </c>
      <c r="Q131" s="21">
        <v>42067</v>
      </c>
      <c r="R131" s="20" t="s">
        <v>1108</v>
      </c>
      <c r="S131" s="21">
        <v>42628</v>
      </c>
      <c r="T131" s="10"/>
      <c r="U131" s="38"/>
      <c r="V131" s="20" t="s">
        <v>510</v>
      </c>
      <c r="W131" s="21">
        <v>42067</v>
      </c>
      <c r="X131" s="89" t="s">
        <v>989</v>
      </c>
      <c r="Y131" s="89" t="s">
        <v>30</v>
      </c>
      <c r="Z131" s="90">
        <v>40875</v>
      </c>
      <c r="AA131" s="38" t="s">
        <v>861</v>
      </c>
      <c r="AB131" s="318">
        <v>42810</v>
      </c>
      <c r="AC131" s="320">
        <v>42222</v>
      </c>
      <c r="AD131" s="158" t="s">
        <v>1061</v>
      </c>
      <c r="AE131" s="174" t="s">
        <v>1061</v>
      </c>
      <c r="AF131" s="244" t="s">
        <v>998</v>
      </c>
      <c r="AG131" s="158" t="s">
        <v>1061</v>
      </c>
      <c r="AH131" s="158" t="s">
        <v>998</v>
      </c>
      <c r="AI131" s="158" t="s">
        <v>1061</v>
      </c>
      <c r="AJ131" s="158" t="s">
        <v>998</v>
      </c>
      <c r="AK131" s="279" t="s">
        <v>1061</v>
      </c>
    </row>
    <row r="132" spans="1:37" x14ac:dyDescent="0.2">
      <c r="A132" s="37" t="s">
        <v>11</v>
      </c>
      <c r="B132" s="31" t="s">
        <v>1197</v>
      </c>
      <c r="C132" s="7" t="s">
        <v>113</v>
      </c>
      <c r="D132" s="10"/>
      <c r="E132" s="10" t="s">
        <v>187</v>
      </c>
      <c r="F132" s="10" t="s">
        <v>968</v>
      </c>
      <c r="G132" s="7" t="s">
        <v>61</v>
      </c>
      <c r="H132" s="7" t="s">
        <v>81</v>
      </c>
      <c r="I132" s="312"/>
      <c r="J132" s="7"/>
      <c r="K132" s="7" t="s">
        <v>82</v>
      </c>
      <c r="L132" s="93">
        <v>0</v>
      </c>
      <c r="M132" s="93"/>
      <c r="N132" s="20" t="s">
        <v>859</v>
      </c>
      <c r="O132" s="21">
        <v>42061</v>
      </c>
      <c r="P132" s="20" t="s">
        <v>859</v>
      </c>
      <c r="Q132" s="21">
        <v>42551</v>
      </c>
      <c r="R132" s="29" t="s">
        <v>859</v>
      </c>
      <c r="S132" s="152" t="s">
        <v>1366</v>
      </c>
      <c r="T132" s="10"/>
      <c r="U132" s="10"/>
      <c r="V132" s="7"/>
      <c r="W132" s="7"/>
      <c r="X132" s="143" t="s">
        <v>989</v>
      </c>
      <c r="Y132" s="143" t="s">
        <v>10</v>
      </c>
      <c r="Z132" s="145">
        <v>40877</v>
      </c>
      <c r="AA132" s="38" t="s">
        <v>1019</v>
      </c>
      <c r="AB132" s="318">
        <v>41920</v>
      </c>
      <c r="AC132" s="320">
        <v>42269</v>
      </c>
      <c r="AD132" s="158" t="s">
        <v>1061</v>
      </c>
      <c r="AE132" s="158"/>
      <c r="AF132" s="158"/>
      <c r="AG132" s="158" t="s">
        <v>1061</v>
      </c>
      <c r="AH132" s="158" t="s">
        <v>998</v>
      </c>
      <c r="AI132" s="158"/>
      <c r="AJ132" s="158" t="s">
        <v>1061</v>
      </c>
      <c r="AK132" s="279"/>
    </row>
    <row r="133" spans="1:37" s="278" customFormat="1" x14ac:dyDescent="0.2">
      <c r="A133" s="281" t="s">
        <v>324</v>
      </c>
      <c r="B133" s="282" t="s">
        <v>558</v>
      </c>
      <c r="C133" s="282" t="s">
        <v>113</v>
      </c>
      <c r="D133" s="282"/>
      <c r="E133" s="282" t="s">
        <v>325</v>
      </c>
      <c r="F133" s="282" t="s">
        <v>959</v>
      </c>
      <c r="G133" s="282" t="s">
        <v>56</v>
      </c>
      <c r="H133" s="282"/>
      <c r="I133" s="280" t="s">
        <v>172</v>
      </c>
      <c r="J133" s="282" t="s">
        <v>178</v>
      </c>
      <c r="K133" s="282" t="s">
        <v>326</v>
      </c>
      <c r="L133" s="282"/>
      <c r="M133" s="282"/>
      <c r="N133" s="282"/>
      <c r="O133" s="282"/>
      <c r="P133" s="282"/>
      <c r="Q133" s="282"/>
      <c r="R133" s="282"/>
      <c r="S133" s="282"/>
      <c r="T133" s="282"/>
      <c r="U133" s="282"/>
      <c r="V133" s="282"/>
      <c r="W133" s="282"/>
      <c r="X133" s="282" t="s">
        <v>990</v>
      </c>
      <c r="Y133" s="282"/>
      <c r="Z133" s="285"/>
      <c r="AA133" s="285"/>
      <c r="AB133" s="324">
        <v>2004</v>
      </c>
      <c r="AC133" s="324"/>
      <c r="AD133" s="268"/>
      <c r="AE133" s="268"/>
      <c r="AF133" s="268"/>
      <c r="AG133" s="268"/>
      <c r="AH133" s="268"/>
      <c r="AI133" s="268"/>
      <c r="AJ133" s="268"/>
      <c r="AK133" s="287"/>
    </row>
    <row r="134" spans="1:37" x14ac:dyDescent="0.2">
      <c r="A134" s="37" t="s">
        <v>29</v>
      </c>
      <c r="B134" s="10"/>
      <c r="C134" s="7" t="s">
        <v>112</v>
      </c>
      <c r="D134" s="10"/>
      <c r="E134" s="10" t="s">
        <v>182</v>
      </c>
      <c r="F134" s="10" t="s">
        <v>959</v>
      </c>
      <c r="G134" s="7" t="s">
        <v>56</v>
      </c>
      <c r="H134" s="7" t="s">
        <v>57</v>
      </c>
      <c r="I134" s="312"/>
      <c r="J134" s="7"/>
      <c r="K134" s="7" t="s">
        <v>97</v>
      </c>
      <c r="L134" s="93">
        <v>408</v>
      </c>
      <c r="M134" s="93"/>
      <c r="N134" s="30" t="s">
        <v>1073</v>
      </c>
      <c r="O134" s="21">
        <v>42441</v>
      </c>
      <c r="P134" s="20" t="s">
        <v>1073</v>
      </c>
      <c r="Q134" s="21">
        <v>42976</v>
      </c>
      <c r="R134" s="20" t="s">
        <v>1073</v>
      </c>
      <c r="S134" s="21">
        <v>42506</v>
      </c>
      <c r="T134" s="20" t="s">
        <v>254</v>
      </c>
      <c r="U134" s="21">
        <v>41723</v>
      </c>
      <c r="V134" s="7"/>
      <c r="W134" s="7"/>
      <c r="X134" s="89" t="s">
        <v>989</v>
      </c>
      <c r="Y134" s="89" t="s">
        <v>28</v>
      </c>
      <c r="Z134" s="90">
        <v>40875</v>
      </c>
      <c r="AA134" s="38" t="s">
        <v>1004</v>
      </c>
      <c r="AB134" s="318">
        <v>42887</v>
      </c>
      <c r="AC134" s="320">
        <v>42879</v>
      </c>
      <c r="AD134" s="158" t="s">
        <v>1061</v>
      </c>
      <c r="AE134" s="158"/>
      <c r="AF134" s="244" t="s">
        <v>1060</v>
      </c>
      <c r="AG134" s="158"/>
      <c r="AH134" s="158"/>
      <c r="AI134" s="158" t="s">
        <v>998</v>
      </c>
      <c r="AJ134" s="158" t="s">
        <v>1061</v>
      </c>
      <c r="AK134" s="279"/>
    </row>
    <row r="135" spans="1:37" x14ac:dyDescent="0.2">
      <c r="A135" s="37" t="s">
        <v>392</v>
      </c>
      <c r="B135" s="10"/>
      <c r="C135" s="7" t="s">
        <v>112</v>
      </c>
      <c r="D135" s="10"/>
      <c r="E135" s="10" t="s">
        <v>182</v>
      </c>
      <c r="F135" s="10" t="s">
        <v>959</v>
      </c>
      <c r="G135" s="7" t="s">
        <v>56</v>
      </c>
      <c r="H135" s="7"/>
      <c r="I135" s="312" t="s">
        <v>170</v>
      </c>
      <c r="J135" s="7" t="s">
        <v>64</v>
      </c>
      <c r="K135" s="7" t="s">
        <v>96</v>
      </c>
      <c r="L135" s="93">
        <v>57</v>
      </c>
      <c r="M135" s="93"/>
      <c r="N135" s="20" t="s">
        <v>1210</v>
      </c>
      <c r="O135" s="21">
        <v>42629</v>
      </c>
      <c r="P135" s="20" t="s">
        <v>556</v>
      </c>
      <c r="Q135" s="21">
        <v>41612</v>
      </c>
      <c r="R135" s="20" t="s">
        <v>1210</v>
      </c>
      <c r="S135" s="21">
        <v>42863</v>
      </c>
      <c r="T135" s="20" t="s">
        <v>1210</v>
      </c>
      <c r="U135" s="21">
        <v>42989</v>
      </c>
      <c r="V135" s="7"/>
      <c r="W135" s="7"/>
      <c r="X135" s="89" t="s">
        <v>989</v>
      </c>
      <c r="Y135" s="89" t="s">
        <v>27</v>
      </c>
      <c r="Z135" s="90">
        <v>40875</v>
      </c>
      <c r="AA135" s="38" t="s">
        <v>1005</v>
      </c>
      <c r="AB135" s="318">
        <v>42873</v>
      </c>
      <c r="AC135" s="320">
        <v>42136</v>
      </c>
      <c r="AD135" s="158" t="s">
        <v>1061</v>
      </c>
      <c r="AE135" s="158"/>
      <c r="AF135" s="244" t="s">
        <v>998</v>
      </c>
      <c r="AG135" s="158"/>
      <c r="AH135" s="158" t="s">
        <v>1061</v>
      </c>
      <c r="AI135" s="158" t="s">
        <v>998</v>
      </c>
      <c r="AJ135" s="158"/>
      <c r="AK135" s="279" t="s">
        <v>1061</v>
      </c>
    </row>
    <row r="136" spans="1:37" x14ac:dyDescent="0.2">
      <c r="A136" s="26" t="s">
        <v>201</v>
      </c>
      <c r="B136" s="314"/>
      <c r="C136" s="15" t="s">
        <v>114</v>
      </c>
      <c r="D136" s="15" t="s">
        <v>977</v>
      </c>
      <c r="E136" s="15" t="s">
        <v>402</v>
      </c>
      <c r="F136" s="15" t="s">
        <v>970</v>
      </c>
      <c r="G136" s="314" t="s">
        <v>61</v>
      </c>
      <c r="H136" s="19" t="s">
        <v>235</v>
      </c>
      <c r="I136" s="19"/>
      <c r="J136" s="19"/>
      <c r="K136" s="19" t="s">
        <v>236</v>
      </c>
      <c r="L136" s="94">
        <v>3900</v>
      </c>
      <c r="M136" s="94"/>
      <c r="N136" s="22" t="s">
        <v>1274</v>
      </c>
      <c r="O136" s="23">
        <v>42710</v>
      </c>
      <c r="P136" s="147" t="s">
        <v>390</v>
      </c>
      <c r="Q136" s="144">
        <v>2010</v>
      </c>
      <c r="R136" s="29" t="s">
        <v>1274</v>
      </c>
      <c r="S136" s="152">
        <v>42744</v>
      </c>
      <c r="T136" s="19"/>
      <c r="U136" s="19"/>
      <c r="V136" s="147" t="s">
        <v>390</v>
      </c>
      <c r="W136" s="144">
        <v>2010</v>
      </c>
      <c r="X136" s="130" t="s">
        <v>987</v>
      </c>
      <c r="Y136" s="132" t="s">
        <v>202</v>
      </c>
      <c r="Z136" s="134">
        <v>39910</v>
      </c>
      <c r="AA136" s="103" t="s">
        <v>1039</v>
      </c>
      <c r="AB136" s="318">
        <v>41374</v>
      </c>
      <c r="AC136" s="320">
        <v>42851</v>
      </c>
      <c r="AD136" s="158" t="s">
        <v>1061</v>
      </c>
      <c r="AE136" s="174" t="s">
        <v>998</v>
      </c>
      <c r="AF136" s="158" t="s">
        <v>1061</v>
      </c>
      <c r="AG136" s="158" t="s">
        <v>998</v>
      </c>
      <c r="AH136" s="158" t="s">
        <v>1061</v>
      </c>
      <c r="AI136" s="158" t="s">
        <v>998</v>
      </c>
      <c r="AJ136" s="158" t="s">
        <v>1061</v>
      </c>
      <c r="AK136" s="279" t="s">
        <v>998</v>
      </c>
    </row>
    <row r="137" spans="1:37" x14ac:dyDescent="0.2">
      <c r="A137" s="306" t="s">
        <v>148</v>
      </c>
      <c r="B137" s="313"/>
      <c r="C137" s="8" t="s">
        <v>113</v>
      </c>
      <c r="D137" s="8"/>
      <c r="E137" s="8" t="s">
        <v>277</v>
      </c>
      <c r="F137" s="153" t="s">
        <v>975</v>
      </c>
      <c r="G137" s="7" t="s">
        <v>56</v>
      </c>
      <c r="H137" s="8"/>
      <c r="I137" s="7" t="s">
        <v>167</v>
      </c>
      <c r="J137" s="7" t="s">
        <v>136</v>
      </c>
      <c r="K137" s="10" t="s">
        <v>639</v>
      </c>
      <c r="L137" s="93">
        <v>54</v>
      </c>
      <c r="M137" s="93"/>
      <c r="N137" s="20" t="s">
        <v>1205</v>
      </c>
      <c r="O137" s="21">
        <v>42629</v>
      </c>
      <c r="P137" s="20" t="s">
        <v>1205</v>
      </c>
      <c r="Q137" s="21">
        <v>42899</v>
      </c>
      <c r="R137" s="20" t="s">
        <v>1205</v>
      </c>
      <c r="S137" s="21">
        <v>42899</v>
      </c>
      <c r="T137" s="7"/>
      <c r="U137" s="7"/>
      <c r="V137" s="7"/>
      <c r="W137" s="7"/>
      <c r="X137" s="89" t="s">
        <v>989</v>
      </c>
      <c r="Y137" s="89" t="s">
        <v>642</v>
      </c>
      <c r="Z137" s="90">
        <v>41723</v>
      </c>
      <c r="AA137" s="10" t="s">
        <v>1038</v>
      </c>
      <c r="AB137" s="318">
        <v>42592</v>
      </c>
      <c r="AC137" s="320">
        <v>42793</v>
      </c>
      <c r="AD137" s="158"/>
      <c r="AE137" s="158" t="s">
        <v>998</v>
      </c>
      <c r="AF137" s="158" t="s">
        <v>1061</v>
      </c>
      <c r="AG137" s="158"/>
      <c r="AH137" s="158"/>
      <c r="AI137" s="158" t="s">
        <v>1061</v>
      </c>
      <c r="AJ137" s="158" t="s">
        <v>998</v>
      </c>
      <c r="AK137" s="279"/>
    </row>
    <row r="138" spans="1:37" x14ac:dyDescent="0.2">
      <c r="A138" s="310" t="s">
        <v>634</v>
      </c>
      <c r="B138" s="104"/>
      <c r="C138" s="12" t="s">
        <v>113</v>
      </c>
      <c r="D138" s="104"/>
      <c r="E138" s="104" t="s">
        <v>193</v>
      </c>
      <c r="F138" s="8" t="s">
        <v>973</v>
      </c>
      <c r="G138" s="7" t="s">
        <v>56</v>
      </c>
      <c r="H138" s="11" t="s">
        <v>88</v>
      </c>
      <c r="I138" s="7"/>
      <c r="J138" s="7"/>
      <c r="K138" s="11" t="s">
        <v>149</v>
      </c>
      <c r="L138" s="95">
        <v>220</v>
      </c>
      <c r="M138" s="95"/>
      <c r="N138" s="20" t="s">
        <v>1214</v>
      </c>
      <c r="O138" s="21">
        <v>42620</v>
      </c>
      <c r="P138" s="20" t="s">
        <v>473</v>
      </c>
      <c r="Q138" s="21">
        <v>41401</v>
      </c>
      <c r="R138" s="150" t="s">
        <v>473</v>
      </c>
      <c r="S138" s="151">
        <v>41558</v>
      </c>
      <c r="T138" s="7"/>
      <c r="U138" s="7"/>
      <c r="V138" s="7"/>
      <c r="W138" s="7"/>
      <c r="X138" s="89" t="s">
        <v>989</v>
      </c>
      <c r="Y138" s="89" t="s">
        <v>641</v>
      </c>
      <c r="Z138" s="90">
        <v>41723</v>
      </c>
      <c r="AA138" s="10" t="s">
        <v>1037</v>
      </c>
      <c r="AB138" s="318">
        <v>41290</v>
      </c>
      <c r="AC138" s="322">
        <v>42297</v>
      </c>
      <c r="AD138" s="158" t="s">
        <v>1061</v>
      </c>
      <c r="AE138" s="158"/>
      <c r="AF138" s="158" t="s">
        <v>1061</v>
      </c>
      <c r="AG138" s="158" t="s">
        <v>998</v>
      </c>
      <c r="AH138" s="158"/>
      <c r="AI138" s="158" t="s">
        <v>1061</v>
      </c>
      <c r="AJ138" s="158"/>
      <c r="AK138" s="279"/>
    </row>
    <row r="139" spans="1:37" x14ac:dyDescent="0.2">
      <c r="A139" s="26" t="s">
        <v>150</v>
      </c>
      <c r="B139" s="314"/>
      <c r="C139" s="17" t="s">
        <v>112</v>
      </c>
      <c r="D139" s="15"/>
      <c r="E139" s="15" t="s">
        <v>203</v>
      </c>
      <c r="F139" s="154" t="s">
        <v>965</v>
      </c>
      <c r="G139" s="317" t="s">
        <v>56</v>
      </c>
      <c r="H139" s="19" t="s">
        <v>88</v>
      </c>
      <c r="I139" s="19"/>
      <c r="J139" s="19"/>
      <c r="K139" s="19" t="s">
        <v>151</v>
      </c>
      <c r="L139" s="94">
        <v>9</v>
      </c>
      <c r="M139" s="94"/>
      <c r="N139" s="22" t="s">
        <v>876</v>
      </c>
      <c r="O139" s="23">
        <v>42488</v>
      </c>
      <c r="P139" s="22" t="s">
        <v>876</v>
      </c>
      <c r="Q139" s="23">
        <v>42536</v>
      </c>
      <c r="R139" s="22" t="s">
        <v>876</v>
      </c>
      <c r="S139" s="23">
        <v>42816</v>
      </c>
      <c r="T139" s="22" t="s">
        <v>876</v>
      </c>
      <c r="U139" s="23">
        <v>42536</v>
      </c>
      <c r="V139" s="19"/>
      <c r="W139" s="19"/>
      <c r="X139" s="130" t="s">
        <v>987</v>
      </c>
      <c r="Y139" s="132" t="s">
        <v>204</v>
      </c>
      <c r="Z139" s="133">
        <v>37886</v>
      </c>
      <c r="AA139" s="102" t="s">
        <v>1006</v>
      </c>
      <c r="AB139" s="318">
        <v>42333</v>
      </c>
      <c r="AC139" s="320">
        <v>42762</v>
      </c>
      <c r="AD139" s="158" t="s">
        <v>1060</v>
      </c>
      <c r="AE139" s="158"/>
      <c r="AF139" s="158" t="s">
        <v>1061</v>
      </c>
      <c r="AG139" s="158"/>
      <c r="AH139" s="158" t="s">
        <v>998</v>
      </c>
      <c r="AI139" s="158" t="s">
        <v>1061</v>
      </c>
      <c r="AJ139" s="158"/>
      <c r="AK139" s="279" t="s">
        <v>998</v>
      </c>
    </row>
    <row r="140" spans="1:37" x14ac:dyDescent="0.2">
      <c r="A140" s="26" t="s">
        <v>205</v>
      </c>
      <c r="B140" s="314"/>
      <c r="C140" s="14" t="s">
        <v>114</v>
      </c>
      <c r="D140" s="15"/>
      <c r="E140" s="15" t="s">
        <v>357</v>
      </c>
      <c r="F140" s="8" t="s">
        <v>974</v>
      </c>
      <c r="G140" s="315" t="s">
        <v>61</v>
      </c>
      <c r="H140" s="19" t="s">
        <v>235</v>
      </c>
      <c r="I140" s="19"/>
      <c r="J140" s="19"/>
      <c r="K140" s="39" t="s">
        <v>1190</v>
      </c>
      <c r="L140" s="94">
        <v>475</v>
      </c>
      <c r="M140" s="94"/>
      <c r="N140" s="30" t="s">
        <v>676</v>
      </c>
      <c r="O140" s="21">
        <v>42538</v>
      </c>
      <c r="P140" s="22" t="s">
        <v>676</v>
      </c>
      <c r="Q140" s="23">
        <v>42152</v>
      </c>
      <c r="R140" s="22" t="s">
        <v>676</v>
      </c>
      <c r="S140" s="23">
        <v>41912</v>
      </c>
      <c r="T140" s="19"/>
      <c r="U140" s="19"/>
      <c r="V140" s="22" t="s">
        <v>676</v>
      </c>
      <c r="W140" s="23">
        <v>42152</v>
      </c>
      <c r="X140" s="130" t="s">
        <v>987</v>
      </c>
      <c r="Y140" s="132" t="s">
        <v>206</v>
      </c>
      <c r="Z140" s="134">
        <v>39734</v>
      </c>
      <c r="AA140" s="103" t="s">
        <v>1189</v>
      </c>
      <c r="AB140" s="318">
        <v>42893</v>
      </c>
      <c r="AC140" s="320">
        <v>42774</v>
      </c>
      <c r="AD140" s="158" t="s">
        <v>1061</v>
      </c>
      <c r="AE140" s="158" t="s">
        <v>998</v>
      </c>
      <c r="AF140" s="244" t="s">
        <v>1060</v>
      </c>
      <c r="AG140" s="158" t="s">
        <v>998</v>
      </c>
      <c r="AH140" s="158" t="s">
        <v>1061</v>
      </c>
      <c r="AI140" s="158" t="s">
        <v>998</v>
      </c>
      <c r="AJ140" s="158" t="s">
        <v>1061</v>
      </c>
      <c r="AK140" s="279" t="s">
        <v>998</v>
      </c>
    </row>
    <row r="141" spans="1:37" s="35" customFormat="1" x14ac:dyDescent="0.2">
      <c r="A141" s="26" t="s">
        <v>1221</v>
      </c>
      <c r="B141" s="314"/>
      <c r="C141" s="14" t="s">
        <v>114</v>
      </c>
      <c r="D141" s="15" t="s">
        <v>977</v>
      </c>
      <c r="E141" s="15" t="s">
        <v>211</v>
      </c>
      <c r="F141" s="15" t="s">
        <v>963</v>
      </c>
      <c r="G141" s="315" t="s">
        <v>61</v>
      </c>
      <c r="H141" s="19" t="s">
        <v>78</v>
      </c>
      <c r="I141" s="19"/>
      <c r="J141" s="19"/>
      <c r="K141" s="19" t="s">
        <v>1275</v>
      </c>
      <c r="L141" s="94">
        <v>71</v>
      </c>
      <c r="M141" s="94"/>
      <c r="N141" s="22" t="s">
        <v>858</v>
      </c>
      <c r="O141" s="23">
        <v>42710</v>
      </c>
      <c r="P141" s="22" t="s">
        <v>858</v>
      </c>
      <c r="Q141" s="23">
        <v>42788</v>
      </c>
      <c r="R141" s="143"/>
      <c r="S141" s="143"/>
      <c r="T141" s="22" t="s">
        <v>858</v>
      </c>
      <c r="U141" s="23">
        <v>42788</v>
      </c>
      <c r="V141" s="22" t="s">
        <v>858</v>
      </c>
      <c r="W141" s="23">
        <v>42788</v>
      </c>
      <c r="X141" s="130" t="s">
        <v>987</v>
      </c>
      <c r="Y141" s="132" t="s">
        <v>212</v>
      </c>
      <c r="Z141" s="134">
        <v>39917</v>
      </c>
      <c r="AA141" s="103" t="s">
        <v>1040</v>
      </c>
      <c r="AB141" s="318">
        <v>43026</v>
      </c>
      <c r="AC141" s="320">
        <v>42877</v>
      </c>
      <c r="AD141" s="158" t="s">
        <v>1060</v>
      </c>
      <c r="AE141" s="174" t="s">
        <v>1061</v>
      </c>
      <c r="AF141" s="244" t="s">
        <v>1060</v>
      </c>
      <c r="AG141" s="158" t="s">
        <v>1061</v>
      </c>
      <c r="AH141" s="158" t="s">
        <v>998</v>
      </c>
      <c r="AI141" s="158" t="s">
        <v>1061</v>
      </c>
      <c r="AJ141" s="158" t="s">
        <v>998</v>
      </c>
      <c r="AK141" s="279" t="s">
        <v>1061</v>
      </c>
    </row>
    <row r="142" spans="1:37" s="35" customFormat="1" x14ac:dyDescent="0.2">
      <c r="A142" s="37" t="s">
        <v>477</v>
      </c>
      <c r="B142" s="10"/>
      <c r="C142" s="7" t="s">
        <v>114</v>
      </c>
      <c r="D142" s="10"/>
      <c r="E142" s="10" t="s">
        <v>182</v>
      </c>
      <c r="F142" s="10" t="s">
        <v>959</v>
      </c>
      <c r="G142" s="7" t="s">
        <v>56</v>
      </c>
      <c r="H142" s="7"/>
      <c r="I142" s="312" t="s">
        <v>170</v>
      </c>
      <c r="J142" s="7" t="s">
        <v>64</v>
      </c>
      <c r="K142" s="7" t="s">
        <v>95</v>
      </c>
      <c r="L142" s="93">
        <v>300</v>
      </c>
      <c r="M142" s="93"/>
      <c r="N142" s="20" t="s">
        <v>1102</v>
      </c>
      <c r="O142" s="21">
        <v>42491</v>
      </c>
      <c r="P142" s="20" t="s">
        <v>1102</v>
      </c>
      <c r="Q142" s="21">
        <v>42982</v>
      </c>
      <c r="R142" s="20" t="s">
        <v>497</v>
      </c>
      <c r="S142" s="151">
        <v>41731</v>
      </c>
      <c r="T142" s="20" t="s">
        <v>1102</v>
      </c>
      <c r="U142" s="21">
        <v>42982</v>
      </c>
      <c r="V142" s="20" t="s">
        <v>1102</v>
      </c>
      <c r="W142" s="21">
        <v>42982</v>
      </c>
      <c r="X142" s="89" t="s">
        <v>989</v>
      </c>
      <c r="Y142" s="89" t="s">
        <v>26</v>
      </c>
      <c r="Z142" s="90">
        <v>40875</v>
      </c>
      <c r="AA142" s="38" t="s">
        <v>1036</v>
      </c>
      <c r="AB142" s="318">
        <v>41724</v>
      </c>
      <c r="AC142" s="322">
        <v>42103</v>
      </c>
      <c r="AD142" s="158" t="s">
        <v>1061</v>
      </c>
      <c r="AE142" s="174" t="s">
        <v>1061</v>
      </c>
      <c r="AF142" s="158" t="s">
        <v>1060</v>
      </c>
      <c r="AG142" s="158" t="s">
        <v>1061</v>
      </c>
      <c r="AH142" s="158" t="s">
        <v>998</v>
      </c>
      <c r="AI142" s="158" t="s">
        <v>1061</v>
      </c>
      <c r="AJ142" s="158" t="s">
        <v>998</v>
      </c>
      <c r="AK142" s="279" t="s">
        <v>1061</v>
      </c>
    </row>
    <row r="143" spans="1:37" s="35" customFormat="1" x14ac:dyDescent="0.2">
      <c r="A143" s="307" t="s">
        <v>1230</v>
      </c>
      <c r="B143" s="10"/>
      <c r="C143" s="7" t="s">
        <v>113</v>
      </c>
      <c r="D143" s="10"/>
      <c r="E143" s="10" t="s">
        <v>325</v>
      </c>
      <c r="F143" s="10" t="s">
        <v>959</v>
      </c>
      <c r="G143" s="7" t="s">
        <v>69</v>
      </c>
      <c r="H143" s="7" t="s">
        <v>306</v>
      </c>
      <c r="I143" s="312"/>
      <c r="J143" s="7"/>
      <c r="K143" s="7" t="s">
        <v>1231</v>
      </c>
      <c r="L143" s="93">
        <v>386</v>
      </c>
      <c r="M143" s="93"/>
      <c r="N143" s="30" t="s">
        <v>489</v>
      </c>
      <c r="O143" s="21">
        <v>42895</v>
      </c>
      <c r="P143" s="30" t="s">
        <v>489</v>
      </c>
      <c r="Q143" s="21">
        <v>42703</v>
      </c>
      <c r="R143" s="30" t="s">
        <v>1291</v>
      </c>
      <c r="S143" s="21">
        <v>42928</v>
      </c>
      <c r="T143" s="10"/>
      <c r="U143" s="38"/>
      <c r="V143" s="10"/>
      <c r="W143" s="38"/>
      <c r="X143" s="142" t="s">
        <v>989</v>
      </c>
      <c r="Y143" s="99" t="s">
        <v>1439</v>
      </c>
      <c r="Z143" s="91">
        <v>42648</v>
      </c>
      <c r="AA143" s="38" t="s">
        <v>1080</v>
      </c>
      <c r="AB143" s="319"/>
      <c r="AC143" s="320">
        <v>42927</v>
      </c>
      <c r="AD143" s="158"/>
      <c r="AE143" s="158"/>
      <c r="AF143" s="158" t="s">
        <v>1061</v>
      </c>
      <c r="AG143" s="158"/>
      <c r="AH143" s="158"/>
      <c r="AI143" s="158"/>
      <c r="AJ143" s="158"/>
      <c r="AK143" s="279" t="s">
        <v>1061</v>
      </c>
    </row>
    <row r="144" spans="1:37" s="35" customFormat="1" x14ac:dyDescent="0.2">
      <c r="A144" s="307" t="s">
        <v>1088</v>
      </c>
      <c r="B144" s="266" t="s">
        <v>1086</v>
      </c>
      <c r="C144" s="8" t="s">
        <v>113</v>
      </c>
      <c r="D144" s="8"/>
      <c r="E144" s="8" t="s">
        <v>325</v>
      </c>
      <c r="F144" s="8" t="s">
        <v>959</v>
      </c>
      <c r="G144" s="7" t="s">
        <v>56</v>
      </c>
      <c r="H144" s="8"/>
      <c r="I144" s="7" t="s">
        <v>165</v>
      </c>
      <c r="J144" s="7" t="s">
        <v>874</v>
      </c>
      <c r="K144" s="10" t="s">
        <v>873</v>
      </c>
      <c r="L144" s="93">
        <v>412</v>
      </c>
      <c r="M144" s="93"/>
      <c r="N144" s="30" t="s">
        <v>489</v>
      </c>
      <c r="O144" s="21">
        <v>42441</v>
      </c>
      <c r="P144" s="146" t="s">
        <v>842</v>
      </c>
      <c r="Q144" s="145">
        <v>42118</v>
      </c>
      <c r="R144" s="146" t="s">
        <v>842</v>
      </c>
      <c r="S144" s="145">
        <v>42206</v>
      </c>
      <c r="T144" s="10"/>
      <c r="U144" s="10"/>
      <c r="V144" s="10"/>
      <c r="W144" s="10"/>
      <c r="X144" s="143" t="s">
        <v>989</v>
      </c>
      <c r="Y144" s="143" t="s">
        <v>923</v>
      </c>
      <c r="Z144" s="145">
        <v>42207</v>
      </c>
      <c r="AA144" s="38" t="s">
        <v>1080</v>
      </c>
      <c r="AB144" s="318"/>
      <c r="AC144" s="320">
        <v>43018</v>
      </c>
      <c r="AD144" s="158"/>
      <c r="AE144" s="174" t="s">
        <v>1061</v>
      </c>
      <c r="AF144" s="158" t="s">
        <v>1061</v>
      </c>
      <c r="AG144" s="158"/>
      <c r="AH144" s="158"/>
      <c r="AI144" s="158"/>
      <c r="AJ144" s="158"/>
      <c r="AK144" s="279" t="s">
        <v>1061</v>
      </c>
    </row>
    <row r="145" spans="1:37" s="35" customFormat="1" x14ac:dyDescent="0.2">
      <c r="A145" s="307" t="s">
        <v>1338</v>
      </c>
      <c r="B145" s="8"/>
      <c r="C145" s="8" t="s">
        <v>113</v>
      </c>
      <c r="D145" s="8"/>
      <c r="E145" s="8" t="s">
        <v>325</v>
      </c>
      <c r="F145" s="8" t="s">
        <v>959</v>
      </c>
      <c r="G145" s="7" t="s">
        <v>56</v>
      </c>
      <c r="H145" s="8" t="s">
        <v>130</v>
      </c>
      <c r="I145" s="7"/>
      <c r="J145" s="7"/>
      <c r="K145" s="10" t="s">
        <v>1343</v>
      </c>
      <c r="L145" s="93">
        <v>436</v>
      </c>
      <c r="M145" s="93"/>
      <c r="N145" s="30" t="s">
        <v>1291</v>
      </c>
      <c r="O145" s="21">
        <v>42895</v>
      </c>
      <c r="P145" s="30" t="s">
        <v>1291</v>
      </c>
      <c r="Q145" s="21">
        <v>42872</v>
      </c>
      <c r="R145" s="30" t="s">
        <v>1291</v>
      </c>
      <c r="S145" s="21">
        <v>42894</v>
      </c>
      <c r="T145" s="10"/>
      <c r="U145" s="10"/>
      <c r="V145" s="10"/>
      <c r="W145" s="10"/>
      <c r="X145" s="142" t="s">
        <v>989</v>
      </c>
      <c r="Y145" s="142" t="s">
        <v>1376</v>
      </c>
      <c r="Z145" s="91">
        <v>42831</v>
      </c>
      <c r="AA145" s="19" t="s">
        <v>1080</v>
      </c>
      <c r="AB145" s="318"/>
      <c r="AC145" s="327"/>
      <c r="AD145" s="158"/>
      <c r="AE145" s="174"/>
      <c r="AF145" s="158"/>
      <c r="AG145" s="158" t="s">
        <v>1061</v>
      </c>
      <c r="AH145" s="158"/>
      <c r="AI145" s="158"/>
      <c r="AJ145" s="158"/>
      <c r="AK145" s="279"/>
    </row>
    <row r="146" spans="1:37" s="35" customFormat="1" x14ac:dyDescent="0.2">
      <c r="A146" s="307" t="s">
        <v>479</v>
      </c>
      <c r="B146" s="10"/>
      <c r="C146" s="10" t="s">
        <v>113</v>
      </c>
      <c r="D146" s="10"/>
      <c r="E146" s="10" t="s">
        <v>325</v>
      </c>
      <c r="F146" s="10" t="s">
        <v>959</v>
      </c>
      <c r="G146" s="10" t="s">
        <v>260</v>
      </c>
      <c r="H146" s="10" t="s">
        <v>261</v>
      </c>
      <c r="I146" s="8"/>
      <c r="J146" s="10"/>
      <c r="K146" s="10" t="s">
        <v>478</v>
      </c>
      <c r="L146" s="93">
        <v>400</v>
      </c>
      <c r="M146" s="93"/>
      <c r="N146" s="20" t="s">
        <v>489</v>
      </c>
      <c r="O146" s="21">
        <v>42724</v>
      </c>
      <c r="P146" s="20" t="s">
        <v>489</v>
      </c>
      <c r="Q146" s="21">
        <v>42016</v>
      </c>
      <c r="R146" s="20" t="s">
        <v>489</v>
      </c>
      <c r="S146" s="21">
        <v>42230</v>
      </c>
      <c r="T146" s="10"/>
      <c r="U146" s="38"/>
      <c r="V146" s="10"/>
      <c r="W146" s="38"/>
      <c r="X146" s="89" t="s">
        <v>989</v>
      </c>
      <c r="Y146" s="89" t="s">
        <v>934</v>
      </c>
      <c r="Z146" s="90">
        <v>42240</v>
      </c>
      <c r="AA146" s="38" t="s">
        <v>786</v>
      </c>
      <c r="AB146" s="321"/>
      <c r="AC146" s="320">
        <v>41807</v>
      </c>
      <c r="AD146" s="158"/>
      <c r="AE146" s="174" t="s">
        <v>1061</v>
      </c>
      <c r="AF146" s="158"/>
      <c r="AG146" s="158"/>
      <c r="AH146" s="158" t="s">
        <v>1061</v>
      </c>
      <c r="AI146" s="158"/>
      <c r="AJ146" s="158"/>
      <c r="AK146" s="279"/>
    </row>
    <row r="147" spans="1:37" x14ac:dyDescent="0.2">
      <c r="A147" s="37" t="s">
        <v>583</v>
      </c>
      <c r="B147" s="10"/>
      <c r="C147" s="10" t="s">
        <v>113</v>
      </c>
      <c r="D147" s="10"/>
      <c r="E147" s="10" t="s">
        <v>325</v>
      </c>
      <c r="F147" s="10" t="s">
        <v>959</v>
      </c>
      <c r="G147" s="10" t="s">
        <v>56</v>
      </c>
      <c r="H147" s="10" t="s">
        <v>88</v>
      </c>
      <c r="I147" s="8"/>
      <c r="J147" s="10"/>
      <c r="K147" s="10" t="s">
        <v>584</v>
      </c>
      <c r="L147" s="93">
        <v>454</v>
      </c>
      <c r="M147" s="93"/>
      <c r="N147" s="20" t="s">
        <v>489</v>
      </c>
      <c r="O147" s="21">
        <v>42895</v>
      </c>
      <c r="P147" s="20" t="s">
        <v>489</v>
      </c>
      <c r="Q147" s="21">
        <v>41645</v>
      </c>
      <c r="R147" s="20" t="s">
        <v>489</v>
      </c>
      <c r="S147" s="21">
        <v>41988</v>
      </c>
      <c r="T147" s="10"/>
      <c r="U147" s="38"/>
      <c r="V147" s="10"/>
      <c r="W147" s="38"/>
      <c r="X147" s="89" t="s">
        <v>989</v>
      </c>
      <c r="Y147" s="89" t="s">
        <v>829</v>
      </c>
      <c r="Z147" s="90">
        <v>41991</v>
      </c>
      <c r="AA147" s="38" t="s">
        <v>786</v>
      </c>
      <c r="AB147" s="321"/>
      <c r="AC147" s="322">
        <v>41978</v>
      </c>
      <c r="AD147" s="158"/>
      <c r="AE147" s="158"/>
      <c r="AF147" s="158" t="s">
        <v>1061</v>
      </c>
      <c r="AG147" s="158"/>
      <c r="AH147" s="158"/>
      <c r="AI147" s="158"/>
      <c r="AJ147" s="158"/>
      <c r="AK147" s="279" t="s">
        <v>1061</v>
      </c>
    </row>
    <row r="148" spans="1:37" x14ac:dyDescent="0.2">
      <c r="A148" s="37" t="s">
        <v>1278</v>
      </c>
      <c r="B148" s="10"/>
      <c r="C148" s="10" t="s">
        <v>113</v>
      </c>
      <c r="D148" s="10"/>
      <c r="E148" s="10" t="s">
        <v>325</v>
      </c>
      <c r="F148" s="10" t="s">
        <v>959</v>
      </c>
      <c r="G148" s="10" t="s">
        <v>61</v>
      </c>
      <c r="H148" s="10" t="s">
        <v>81</v>
      </c>
      <c r="I148" s="8"/>
      <c r="J148" s="10"/>
      <c r="K148" s="10" t="s">
        <v>1279</v>
      </c>
      <c r="L148" s="93">
        <v>435</v>
      </c>
      <c r="M148" s="93"/>
      <c r="N148" s="20" t="s">
        <v>489</v>
      </c>
      <c r="O148" s="21">
        <v>42895</v>
      </c>
      <c r="P148" s="20" t="s">
        <v>1291</v>
      </c>
      <c r="Q148" s="21">
        <v>42823</v>
      </c>
      <c r="R148" s="30" t="s">
        <v>1291</v>
      </c>
      <c r="S148" s="21">
        <v>42850</v>
      </c>
      <c r="T148" s="10"/>
      <c r="U148" s="38"/>
      <c r="V148" s="10"/>
      <c r="W148" s="38"/>
      <c r="X148" s="89" t="s">
        <v>989</v>
      </c>
      <c r="Y148" s="100" t="s">
        <v>1375</v>
      </c>
      <c r="Z148" s="90">
        <v>42874</v>
      </c>
      <c r="AA148" s="38" t="s">
        <v>786</v>
      </c>
      <c r="AB148" s="321"/>
      <c r="AC148" s="320"/>
      <c r="AD148" s="158"/>
      <c r="AE148" s="158"/>
      <c r="AF148" s="158"/>
      <c r="AG148" s="158" t="s">
        <v>1061</v>
      </c>
      <c r="AH148" s="158"/>
      <c r="AI148" s="158"/>
      <c r="AJ148" s="158"/>
      <c r="AK148" s="279"/>
    </row>
    <row r="149" spans="1:37" x14ac:dyDescent="0.2">
      <c r="A149" s="307" t="s">
        <v>1089</v>
      </c>
      <c r="B149" s="266" t="s">
        <v>1086</v>
      </c>
      <c r="C149" s="8" t="s">
        <v>113</v>
      </c>
      <c r="D149" s="8"/>
      <c r="E149" s="8" t="s">
        <v>325</v>
      </c>
      <c r="F149" s="8" t="s">
        <v>959</v>
      </c>
      <c r="G149" s="7" t="s">
        <v>305</v>
      </c>
      <c r="H149" s="8" t="s">
        <v>714</v>
      </c>
      <c r="I149" s="7"/>
      <c r="J149" s="7"/>
      <c r="K149" s="10" t="s">
        <v>1090</v>
      </c>
      <c r="L149" s="93">
        <v>412</v>
      </c>
      <c r="M149" s="93"/>
      <c r="N149" s="30" t="s">
        <v>489</v>
      </c>
      <c r="O149" s="21">
        <v>42441</v>
      </c>
      <c r="P149" s="146" t="s">
        <v>842</v>
      </c>
      <c r="Q149" s="145">
        <v>42207</v>
      </c>
      <c r="R149" s="22" t="s">
        <v>842</v>
      </c>
      <c r="S149" s="23">
        <v>42914</v>
      </c>
      <c r="T149" s="10"/>
      <c r="U149" s="10"/>
      <c r="V149" s="10"/>
      <c r="W149" s="10"/>
      <c r="X149" s="143" t="s">
        <v>989</v>
      </c>
      <c r="Y149" s="143" t="s">
        <v>925</v>
      </c>
      <c r="Z149" s="145">
        <v>42219</v>
      </c>
      <c r="AA149" s="38" t="s">
        <v>1080</v>
      </c>
      <c r="AB149" s="318"/>
      <c r="AC149" s="320">
        <v>42844</v>
      </c>
      <c r="AD149" s="158"/>
      <c r="AE149" s="174" t="s">
        <v>1061</v>
      </c>
      <c r="AF149" s="158" t="s">
        <v>1061</v>
      </c>
      <c r="AG149" s="158"/>
      <c r="AH149" s="158"/>
      <c r="AI149" s="158"/>
      <c r="AJ149" s="158"/>
      <c r="AK149" s="279" t="s">
        <v>1061</v>
      </c>
    </row>
    <row r="150" spans="1:37" x14ac:dyDescent="0.2">
      <c r="A150" s="307" t="s">
        <v>1339</v>
      </c>
      <c r="B150" s="8"/>
      <c r="C150" s="8" t="s">
        <v>113</v>
      </c>
      <c r="D150" s="8"/>
      <c r="E150" s="8" t="s">
        <v>325</v>
      </c>
      <c r="F150" s="8" t="s">
        <v>959</v>
      </c>
      <c r="G150" s="7" t="s">
        <v>305</v>
      </c>
      <c r="H150" s="8" t="s">
        <v>714</v>
      </c>
      <c r="I150" s="7"/>
      <c r="J150" s="7"/>
      <c r="K150" s="10" t="s">
        <v>1344</v>
      </c>
      <c r="L150" s="93">
        <v>438</v>
      </c>
      <c r="M150" s="93"/>
      <c r="N150" s="30" t="s">
        <v>1291</v>
      </c>
      <c r="O150" s="21">
        <v>42842</v>
      </c>
      <c r="P150" s="30" t="s">
        <v>1291</v>
      </c>
      <c r="Q150" s="21">
        <v>42849</v>
      </c>
      <c r="R150" s="30" t="s">
        <v>1291</v>
      </c>
      <c r="S150" s="21">
        <v>42850</v>
      </c>
      <c r="T150" s="10"/>
      <c r="U150" s="10"/>
      <c r="V150" s="10"/>
      <c r="W150" s="10"/>
      <c r="X150" s="142" t="s">
        <v>989</v>
      </c>
      <c r="Y150" s="142" t="s">
        <v>1376</v>
      </c>
      <c r="Z150" s="91">
        <v>42832</v>
      </c>
      <c r="AA150" s="38"/>
      <c r="AB150" s="318"/>
      <c r="AC150" s="327"/>
      <c r="AD150" s="158"/>
      <c r="AE150" s="174"/>
      <c r="AF150" s="158"/>
      <c r="AG150" s="158" t="s">
        <v>1061</v>
      </c>
      <c r="AH150" s="158"/>
      <c r="AI150" s="158"/>
      <c r="AJ150" s="158"/>
      <c r="AK150" s="279"/>
    </row>
    <row r="151" spans="1:37" x14ac:dyDescent="0.2">
      <c r="A151" s="307" t="s">
        <v>1084</v>
      </c>
      <c r="B151" s="8"/>
      <c r="C151" s="8" t="s">
        <v>113</v>
      </c>
      <c r="D151" s="8"/>
      <c r="E151" s="8" t="s">
        <v>325</v>
      </c>
      <c r="F151" s="8" t="s">
        <v>959</v>
      </c>
      <c r="G151" s="7" t="s">
        <v>56</v>
      </c>
      <c r="H151" s="8" t="s">
        <v>88</v>
      </c>
      <c r="I151" s="7"/>
      <c r="J151" s="7"/>
      <c r="K151" s="10" t="s">
        <v>857</v>
      </c>
      <c r="L151" s="93">
        <v>412</v>
      </c>
      <c r="M151" s="93"/>
      <c r="N151" s="30" t="s">
        <v>489</v>
      </c>
      <c r="O151" s="21">
        <v>42441</v>
      </c>
      <c r="P151" s="146" t="s">
        <v>842</v>
      </c>
      <c r="Q151" s="145">
        <v>42118</v>
      </c>
      <c r="R151" s="146" t="s">
        <v>842</v>
      </c>
      <c r="S151" s="145">
        <v>42206</v>
      </c>
      <c r="T151" s="10"/>
      <c r="U151" s="10"/>
      <c r="V151" s="10"/>
      <c r="W151" s="10"/>
      <c r="X151" s="143" t="s">
        <v>989</v>
      </c>
      <c r="Y151" s="143" t="s">
        <v>924</v>
      </c>
      <c r="Z151" s="145">
        <v>42207</v>
      </c>
      <c r="AA151" s="19" t="s">
        <v>1080</v>
      </c>
      <c r="AB151" s="318"/>
      <c r="AC151" s="320">
        <v>43018</v>
      </c>
      <c r="AD151" s="158"/>
      <c r="AE151" s="174"/>
      <c r="AF151" s="158" t="s">
        <v>1061</v>
      </c>
      <c r="AG151" s="158"/>
      <c r="AH151" s="158"/>
      <c r="AI151" s="158"/>
      <c r="AJ151" s="158"/>
      <c r="AK151" s="279" t="s">
        <v>1061</v>
      </c>
    </row>
    <row r="152" spans="1:37" x14ac:dyDescent="0.2">
      <c r="A152" s="37" t="s">
        <v>813</v>
      </c>
      <c r="B152" s="10"/>
      <c r="C152" s="10" t="s">
        <v>113</v>
      </c>
      <c r="D152" s="10"/>
      <c r="E152" s="10" t="s">
        <v>325</v>
      </c>
      <c r="F152" s="10" t="s">
        <v>959</v>
      </c>
      <c r="G152" s="10" t="s">
        <v>327</v>
      </c>
      <c r="H152" s="10"/>
      <c r="I152" s="8" t="s">
        <v>328</v>
      </c>
      <c r="J152" s="10" t="s">
        <v>814</v>
      </c>
      <c r="K152" s="10" t="s">
        <v>815</v>
      </c>
      <c r="L152" s="93">
        <v>400</v>
      </c>
      <c r="M152" s="93"/>
      <c r="N152" s="20" t="s">
        <v>489</v>
      </c>
      <c r="O152" s="21">
        <v>42724</v>
      </c>
      <c r="P152" s="20" t="s">
        <v>489</v>
      </c>
      <c r="Q152" s="21">
        <v>42074</v>
      </c>
      <c r="R152" s="20" t="s">
        <v>489</v>
      </c>
      <c r="S152" s="21">
        <v>42230</v>
      </c>
      <c r="T152" s="10"/>
      <c r="U152" s="38"/>
      <c r="V152" s="10"/>
      <c r="W152" s="38"/>
      <c r="X152" s="89" t="s">
        <v>989</v>
      </c>
      <c r="Y152" s="89" t="s">
        <v>935</v>
      </c>
      <c r="Z152" s="90">
        <v>42240</v>
      </c>
      <c r="AA152" s="38" t="s">
        <v>786</v>
      </c>
      <c r="AB152" s="321"/>
      <c r="AC152" s="320">
        <v>42222</v>
      </c>
      <c r="AD152" s="158" t="s">
        <v>1061</v>
      </c>
      <c r="AE152" s="158"/>
      <c r="AF152" s="158"/>
      <c r="AG152" s="158"/>
      <c r="AH152" s="158"/>
      <c r="AI152" s="158" t="s">
        <v>1061</v>
      </c>
      <c r="AJ152" s="158"/>
      <c r="AK152" s="279"/>
    </row>
    <row r="153" spans="1:37" x14ac:dyDescent="0.2">
      <c r="A153" s="37" t="s">
        <v>480</v>
      </c>
      <c r="B153" s="10"/>
      <c r="C153" s="10" t="s">
        <v>113</v>
      </c>
      <c r="D153" s="10"/>
      <c r="E153" s="10" t="s">
        <v>325</v>
      </c>
      <c r="F153" s="10" t="s">
        <v>959</v>
      </c>
      <c r="G153" s="10" t="s">
        <v>72</v>
      </c>
      <c r="H153" s="10" t="s">
        <v>73</v>
      </c>
      <c r="I153" s="8"/>
      <c r="J153" s="10"/>
      <c r="K153" s="10" t="s">
        <v>482</v>
      </c>
      <c r="L153" s="93">
        <v>400</v>
      </c>
      <c r="M153" s="93"/>
      <c r="N153" s="20" t="s">
        <v>489</v>
      </c>
      <c r="O153" s="21">
        <v>42724</v>
      </c>
      <c r="P153" s="20" t="s">
        <v>489</v>
      </c>
      <c r="Q153" s="21">
        <v>41995</v>
      </c>
      <c r="R153" s="20" t="s">
        <v>489</v>
      </c>
      <c r="S153" s="21">
        <v>42230</v>
      </c>
      <c r="T153" s="10"/>
      <c r="U153" s="38"/>
      <c r="V153" s="10"/>
      <c r="W153" s="38"/>
      <c r="X153" s="89" t="s">
        <v>989</v>
      </c>
      <c r="Y153" s="89" t="s">
        <v>937</v>
      </c>
      <c r="Z153" s="90">
        <v>42240</v>
      </c>
      <c r="AA153" s="38" t="s">
        <v>786</v>
      </c>
      <c r="AB153" s="321"/>
      <c r="AC153" s="320">
        <v>41982</v>
      </c>
      <c r="AD153" s="158"/>
      <c r="AE153" s="158"/>
      <c r="AF153" s="158"/>
      <c r="AG153" s="158" t="s">
        <v>1061</v>
      </c>
      <c r="AH153" s="158"/>
      <c r="AI153" s="158"/>
      <c r="AJ153" s="158"/>
      <c r="AK153" s="279"/>
    </row>
    <row r="154" spans="1:37" x14ac:dyDescent="0.2">
      <c r="A154" s="37" t="s">
        <v>816</v>
      </c>
      <c r="B154" s="10"/>
      <c r="C154" s="10" t="s">
        <v>113</v>
      </c>
      <c r="D154" s="10"/>
      <c r="E154" s="10" t="s">
        <v>325</v>
      </c>
      <c r="F154" s="10" t="s">
        <v>959</v>
      </c>
      <c r="G154" s="10" t="s">
        <v>75</v>
      </c>
      <c r="H154" s="10" t="s">
        <v>275</v>
      </c>
      <c r="I154" s="8"/>
      <c r="J154" s="10"/>
      <c r="K154" s="10" t="s">
        <v>817</v>
      </c>
      <c r="L154" s="93">
        <v>386</v>
      </c>
      <c r="M154" s="93"/>
      <c r="N154" s="20" t="s">
        <v>489</v>
      </c>
      <c r="O154" s="21">
        <v>42724</v>
      </c>
      <c r="P154" s="20" t="s">
        <v>489</v>
      </c>
      <c r="Q154" s="21">
        <v>42074</v>
      </c>
      <c r="R154" s="20" t="s">
        <v>1291</v>
      </c>
      <c r="S154" s="21">
        <v>42893</v>
      </c>
      <c r="T154" s="10"/>
      <c r="U154" s="38"/>
      <c r="V154" s="10"/>
      <c r="W154" s="38"/>
      <c r="X154" s="89" t="s">
        <v>989</v>
      </c>
      <c r="Y154" s="89" t="s">
        <v>944</v>
      </c>
      <c r="Z154" s="90">
        <v>42264</v>
      </c>
      <c r="AA154" s="38" t="s">
        <v>786</v>
      </c>
      <c r="AB154" s="321"/>
      <c r="AC154" s="327"/>
      <c r="AD154" s="158"/>
      <c r="AE154" s="174" t="s">
        <v>1061</v>
      </c>
      <c r="AF154" s="158"/>
      <c r="AG154" s="158" t="s">
        <v>1061</v>
      </c>
      <c r="AH154" s="158"/>
      <c r="AI154" s="158"/>
      <c r="AJ154" s="158"/>
      <c r="AK154" s="279"/>
    </row>
    <row r="155" spans="1:37" x14ac:dyDescent="0.2">
      <c r="A155" s="37" t="s">
        <v>481</v>
      </c>
      <c r="B155" s="10"/>
      <c r="C155" s="10" t="s">
        <v>113</v>
      </c>
      <c r="D155" s="10"/>
      <c r="E155" s="10" t="s">
        <v>325</v>
      </c>
      <c r="F155" s="10" t="s">
        <v>959</v>
      </c>
      <c r="G155" s="10" t="s">
        <v>69</v>
      </c>
      <c r="H155" s="10" t="s">
        <v>70</v>
      </c>
      <c r="I155" s="8"/>
      <c r="J155" s="10"/>
      <c r="K155" s="10" t="s">
        <v>483</v>
      </c>
      <c r="L155" s="93">
        <v>400</v>
      </c>
      <c r="M155" s="93"/>
      <c r="N155" s="20" t="s">
        <v>489</v>
      </c>
      <c r="O155" s="21">
        <v>42724</v>
      </c>
      <c r="P155" s="20" t="s">
        <v>489</v>
      </c>
      <c r="Q155" s="21">
        <v>41992</v>
      </c>
      <c r="R155" s="20" t="s">
        <v>489</v>
      </c>
      <c r="S155" s="21">
        <v>42230</v>
      </c>
      <c r="T155" s="10"/>
      <c r="U155" s="38"/>
      <c r="V155" s="10"/>
      <c r="W155" s="38"/>
      <c r="X155" s="89" t="s">
        <v>989</v>
      </c>
      <c r="Y155" s="89" t="s">
        <v>936</v>
      </c>
      <c r="Z155" s="90">
        <v>42240</v>
      </c>
      <c r="AA155" s="38" t="s">
        <v>786</v>
      </c>
      <c r="AB155" s="321"/>
      <c r="AC155" s="320">
        <v>42111</v>
      </c>
      <c r="AD155" s="158" t="s">
        <v>1061</v>
      </c>
      <c r="AE155" s="158"/>
      <c r="AF155" s="158"/>
      <c r="AG155" s="158" t="s">
        <v>1061</v>
      </c>
      <c r="AH155" s="158"/>
      <c r="AI155" s="158"/>
      <c r="AJ155" s="158"/>
      <c r="AK155" s="279"/>
    </row>
    <row r="156" spans="1:37" x14ac:dyDescent="0.2">
      <c r="A156" s="307" t="s">
        <v>1081</v>
      </c>
      <c r="B156" s="8"/>
      <c r="C156" s="8" t="s">
        <v>113</v>
      </c>
      <c r="D156" s="8"/>
      <c r="E156" s="8" t="s">
        <v>325</v>
      </c>
      <c r="F156" s="8" t="s">
        <v>959</v>
      </c>
      <c r="G156" s="7" t="s">
        <v>72</v>
      </c>
      <c r="H156" s="8"/>
      <c r="I156" s="7" t="s">
        <v>1082</v>
      </c>
      <c r="J156" s="7" t="s">
        <v>1082</v>
      </c>
      <c r="K156" s="10" t="s">
        <v>1083</v>
      </c>
      <c r="L156" s="93">
        <v>438</v>
      </c>
      <c r="M156" s="93"/>
      <c r="N156" s="30" t="s">
        <v>1291</v>
      </c>
      <c r="O156" s="21">
        <v>42747</v>
      </c>
      <c r="P156" s="30" t="s">
        <v>1291</v>
      </c>
      <c r="Q156" s="21">
        <v>42787</v>
      </c>
      <c r="R156" s="30" t="s">
        <v>1291</v>
      </c>
      <c r="S156" s="21">
        <v>42783</v>
      </c>
      <c r="T156" s="10"/>
      <c r="U156" s="10"/>
      <c r="V156" s="10"/>
      <c r="W156" s="10"/>
      <c r="X156" s="89" t="s">
        <v>989</v>
      </c>
      <c r="Y156" s="100" t="s">
        <v>1321</v>
      </c>
      <c r="Z156" s="90">
        <v>42795</v>
      </c>
      <c r="AA156" s="38" t="s">
        <v>1080</v>
      </c>
      <c r="AB156" s="318"/>
      <c r="AC156" s="320">
        <v>42844</v>
      </c>
      <c r="AD156" s="158"/>
      <c r="AE156" s="158"/>
      <c r="AF156" s="158" t="s">
        <v>1061</v>
      </c>
      <c r="AG156" s="158"/>
      <c r="AH156" s="158"/>
      <c r="AI156" s="158"/>
      <c r="AJ156" s="158"/>
      <c r="AK156" s="279" t="s">
        <v>1061</v>
      </c>
    </row>
    <row r="157" spans="1:37" x14ac:dyDescent="0.2">
      <c r="A157" s="307" t="s">
        <v>1085</v>
      </c>
      <c r="B157" s="266" t="s">
        <v>1086</v>
      </c>
      <c r="C157" s="8" t="s">
        <v>113</v>
      </c>
      <c r="D157" s="8"/>
      <c r="E157" s="8" t="s">
        <v>325</v>
      </c>
      <c r="F157" s="8" t="s">
        <v>959</v>
      </c>
      <c r="G157" s="7" t="s">
        <v>56</v>
      </c>
      <c r="H157" s="8" t="s">
        <v>88</v>
      </c>
      <c r="I157" s="7"/>
      <c r="J157" s="7"/>
      <c r="K157" s="10" t="s">
        <v>841</v>
      </c>
      <c r="L157" s="93">
        <v>412</v>
      </c>
      <c r="M157" s="93"/>
      <c r="N157" s="30" t="s">
        <v>489</v>
      </c>
      <c r="O157" s="21">
        <v>42441</v>
      </c>
      <c r="P157" s="146" t="s">
        <v>842</v>
      </c>
      <c r="Q157" s="145">
        <v>42075</v>
      </c>
      <c r="R157" s="146" t="s">
        <v>842</v>
      </c>
      <c r="S157" s="145">
        <v>42184</v>
      </c>
      <c r="T157" s="10"/>
      <c r="U157" s="10"/>
      <c r="V157" s="10"/>
      <c r="W157" s="10"/>
      <c r="X157" s="143" t="s">
        <v>989</v>
      </c>
      <c r="Y157" s="143" t="s">
        <v>918</v>
      </c>
      <c r="Z157" s="145">
        <v>42186</v>
      </c>
      <c r="AA157" s="38" t="s">
        <v>1080</v>
      </c>
      <c r="AB157" s="318"/>
      <c r="AC157" s="320">
        <v>42108</v>
      </c>
      <c r="AD157" s="158" t="s">
        <v>1061</v>
      </c>
      <c r="AE157" s="158"/>
      <c r="AF157" s="158"/>
      <c r="AG157" s="158"/>
      <c r="AH157" s="158"/>
      <c r="AI157" s="158" t="s">
        <v>1061</v>
      </c>
      <c r="AJ157" s="158"/>
      <c r="AK157" s="279"/>
    </row>
    <row r="158" spans="1:37" x14ac:dyDescent="0.2">
      <c r="A158" s="307" t="s">
        <v>1087</v>
      </c>
      <c r="B158" s="266" t="s">
        <v>1086</v>
      </c>
      <c r="C158" s="8" t="s">
        <v>113</v>
      </c>
      <c r="D158" s="8"/>
      <c r="E158" s="8" t="s">
        <v>325</v>
      </c>
      <c r="F158" s="8" t="s">
        <v>959</v>
      </c>
      <c r="G158" s="7" t="s">
        <v>292</v>
      </c>
      <c r="H158" s="8" t="s">
        <v>293</v>
      </c>
      <c r="I158" s="7"/>
      <c r="J158" s="7"/>
      <c r="K158" s="10" t="s">
        <v>872</v>
      </c>
      <c r="L158" s="93">
        <v>412</v>
      </c>
      <c r="M158" s="93"/>
      <c r="N158" s="30" t="s">
        <v>489</v>
      </c>
      <c r="O158" s="21">
        <v>42441</v>
      </c>
      <c r="P158" s="146" t="s">
        <v>842</v>
      </c>
      <c r="Q158" s="145">
        <v>42207</v>
      </c>
      <c r="R158" s="146" t="s">
        <v>842</v>
      </c>
      <c r="S158" s="145">
        <v>42216</v>
      </c>
      <c r="T158" s="10"/>
      <c r="U158" s="10"/>
      <c r="V158" s="10"/>
      <c r="W158" s="10"/>
      <c r="X158" s="143" t="s">
        <v>989</v>
      </c>
      <c r="Y158" s="143" t="s">
        <v>926</v>
      </c>
      <c r="Z158" s="145">
        <v>42219</v>
      </c>
      <c r="AA158" s="38" t="s">
        <v>1080</v>
      </c>
      <c r="AB158" s="318"/>
      <c r="AC158" s="320">
        <v>42215</v>
      </c>
      <c r="AD158" s="158" t="s">
        <v>1061</v>
      </c>
      <c r="AE158" s="158"/>
      <c r="AF158" s="158"/>
      <c r="AG158" s="158"/>
      <c r="AH158" s="158"/>
      <c r="AI158" s="158" t="s">
        <v>1061</v>
      </c>
      <c r="AJ158" s="158"/>
      <c r="AK158" s="279"/>
    </row>
    <row r="159" spans="1:37" x14ac:dyDescent="0.2">
      <c r="A159" s="307" t="s">
        <v>1079</v>
      </c>
      <c r="B159" s="266" t="s">
        <v>1086</v>
      </c>
      <c r="C159" s="8" t="s">
        <v>113</v>
      </c>
      <c r="D159" s="8"/>
      <c r="E159" s="8" t="s">
        <v>325</v>
      </c>
      <c r="F159" s="8" t="s">
        <v>959</v>
      </c>
      <c r="G159" s="7" t="s">
        <v>72</v>
      </c>
      <c r="H159" s="8"/>
      <c r="I159" s="7" t="s">
        <v>279</v>
      </c>
      <c r="J159" s="7" t="s">
        <v>870</v>
      </c>
      <c r="K159" s="10" t="s">
        <v>871</v>
      </c>
      <c r="L159" s="93">
        <v>412</v>
      </c>
      <c r="M159" s="93"/>
      <c r="N159" s="30" t="s">
        <v>489</v>
      </c>
      <c r="O159" s="21">
        <v>42441</v>
      </c>
      <c r="P159" s="30" t="s">
        <v>842</v>
      </c>
      <c r="Q159" s="21">
        <v>42207</v>
      </c>
      <c r="R159" s="30" t="s">
        <v>842</v>
      </c>
      <c r="S159" s="21">
        <v>42859</v>
      </c>
      <c r="T159" s="10"/>
      <c r="U159" s="10"/>
      <c r="V159" s="10"/>
      <c r="W159" s="10"/>
      <c r="X159" s="143" t="s">
        <v>989</v>
      </c>
      <c r="Y159" s="143" t="s">
        <v>927</v>
      </c>
      <c r="Z159" s="145">
        <v>42219</v>
      </c>
      <c r="AA159" s="38" t="s">
        <v>1080</v>
      </c>
      <c r="AB159" s="318"/>
      <c r="AC159" s="320">
        <v>42844</v>
      </c>
      <c r="AD159" s="158"/>
      <c r="AE159" s="174" t="s">
        <v>1061</v>
      </c>
      <c r="AF159" s="158" t="s">
        <v>1061</v>
      </c>
      <c r="AG159" s="158"/>
      <c r="AH159" s="158"/>
      <c r="AI159" s="158"/>
      <c r="AJ159" s="158"/>
      <c r="AK159" s="279" t="s">
        <v>1061</v>
      </c>
    </row>
    <row r="160" spans="1:37" x14ac:dyDescent="0.2">
      <c r="A160" s="37" t="s">
        <v>784</v>
      </c>
      <c r="B160" s="10"/>
      <c r="C160" s="10" t="s">
        <v>113</v>
      </c>
      <c r="D160" s="10"/>
      <c r="E160" s="10" t="s">
        <v>325</v>
      </c>
      <c r="F160" s="10" t="s">
        <v>959</v>
      </c>
      <c r="G160" s="10" t="s">
        <v>56</v>
      </c>
      <c r="H160" s="10"/>
      <c r="I160" s="8" t="s">
        <v>170</v>
      </c>
      <c r="J160" s="10" t="s">
        <v>98</v>
      </c>
      <c r="K160" s="10" t="s">
        <v>785</v>
      </c>
      <c r="L160" s="93">
        <v>400</v>
      </c>
      <c r="M160" s="93"/>
      <c r="N160" s="20" t="s">
        <v>489</v>
      </c>
      <c r="O160" s="21">
        <v>42724</v>
      </c>
      <c r="P160" s="20" t="s">
        <v>489</v>
      </c>
      <c r="Q160" s="21">
        <v>42074</v>
      </c>
      <c r="R160" s="20" t="s">
        <v>489</v>
      </c>
      <c r="S160" s="21">
        <v>42121</v>
      </c>
      <c r="T160" s="10"/>
      <c r="U160" s="38"/>
      <c r="V160" s="10"/>
      <c r="W160" s="38"/>
      <c r="X160" s="89" t="s">
        <v>989</v>
      </c>
      <c r="Y160" s="89" t="s">
        <v>902</v>
      </c>
      <c r="Z160" s="90">
        <v>42122</v>
      </c>
      <c r="AA160" s="38" t="s">
        <v>786</v>
      </c>
      <c r="AB160" s="321"/>
      <c r="AC160" s="320">
        <v>42090</v>
      </c>
      <c r="AD160" s="158" t="s">
        <v>1061</v>
      </c>
      <c r="AE160" s="158"/>
      <c r="AF160" s="158"/>
      <c r="AG160" s="158"/>
      <c r="AH160" s="158" t="s">
        <v>1061</v>
      </c>
      <c r="AI160" s="158"/>
      <c r="AJ160" s="158"/>
      <c r="AK160" s="279"/>
    </row>
    <row r="161" spans="1:37" x14ac:dyDescent="0.2">
      <c r="A161" s="37" t="s">
        <v>864</v>
      </c>
      <c r="B161" s="10"/>
      <c r="C161" s="10" t="s">
        <v>113</v>
      </c>
      <c r="D161" s="10"/>
      <c r="E161" s="10" t="s">
        <v>325</v>
      </c>
      <c r="F161" s="10" t="s">
        <v>959</v>
      </c>
      <c r="G161" s="10" t="s">
        <v>346</v>
      </c>
      <c r="H161" s="10" t="s">
        <v>347</v>
      </c>
      <c r="I161" s="8"/>
      <c r="J161" s="10"/>
      <c r="K161" s="10" t="s">
        <v>865</v>
      </c>
      <c r="L161" s="93">
        <v>386</v>
      </c>
      <c r="M161" s="93"/>
      <c r="N161" s="20" t="s">
        <v>489</v>
      </c>
      <c r="O161" s="21">
        <v>42895</v>
      </c>
      <c r="P161" s="20" t="s">
        <v>489</v>
      </c>
      <c r="Q161" s="21">
        <v>42109</v>
      </c>
      <c r="R161" s="20" t="s">
        <v>489</v>
      </c>
      <c r="S161" s="21">
        <v>42230</v>
      </c>
      <c r="T161" s="10"/>
      <c r="U161" s="38"/>
      <c r="V161" s="10"/>
      <c r="W161" s="38"/>
      <c r="X161" s="89" t="s">
        <v>989</v>
      </c>
      <c r="Y161" s="89" t="s">
        <v>938</v>
      </c>
      <c r="Z161" s="90">
        <v>42240</v>
      </c>
      <c r="AA161" s="38" t="s">
        <v>786</v>
      </c>
      <c r="AB161" s="321"/>
      <c r="AC161" s="320">
        <v>42222</v>
      </c>
      <c r="AD161" s="158" t="s">
        <v>1061</v>
      </c>
      <c r="AE161" s="158"/>
      <c r="AF161" s="158"/>
      <c r="AG161" s="158"/>
      <c r="AH161" s="158" t="s">
        <v>1061</v>
      </c>
      <c r="AI161" s="158"/>
      <c r="AJ161" s="158"/>
      <c r="AK161" s="279"/>
    </row>
    <row r="162" spans="1:37" x14ac:dyDescent="0.2">
      <c r="A162" s="37" t="s">
        <v>781</v>
      </c>
      <c r="B162" s="10"/>
      <c r="C162" s="10" t="s">
        <v>113</v>
      </c>
      <c r="D162" s="10"/>
      <c r="E162" s="10" t="s">
        <v>325</v>
      </c>
      <c r="F162" s="10" t="s">
        <v>959</v>
      </c>
      <c r="G162" s="10" t="s">
        <v>56</v>
      </c>
      <c r="H162" s="10"/>
      <c r="I162" s="8" t="s">
        <v>164</v>
      </c>
      <c r="J162" s="10" t="s">
        <v>782</v>
      </c>
      <c r="K162" s="10" t="s">
        <v>783</v>
      </c>
      <c r="L162" s="93">
        <v>400</v>
      </c>
      <c r="M162" s="93"/>
      <c r="N162" s="20" t="s">
        <v>489</v>
      </c>
      <c r="O162" s="21">
        <v>42724</v>
      </c>
      <c r="P162" s="20" t="s">
        <v>489</v>
      </c>
      <c r="Q162" s="21">
        <v>42074</v>
      </c>
      <c r="R162" s="20" t="s">
        <v>489</v>
      </c>
      <c r="S162" s="21">
        <v>42121</v>
      </c>
      <c r="T162" s="10"/>
      <c r="U162" s="38"/>
      <c r="V162" s="10"/>
      <c r="W162" s="38"/>
      <c r="X162" s="89" t="s">
        <v>989</v>
      </c>
      <c r="Y162" s="89" t="s">
        <v>903</v>
      </c>
      <c r="Z162" s="90">
        <v>42122</v>
      </c>
      <c r="AA162" s="38" t="s">
        <v>786</v>
      </c>
      <c r="AB162" s="321"/>
      <c r="AC162" s="320">
        <v>42090</v>
      </c>
      <c r="AD162" s="158" t="s">
        <v>1061</v>
      </c>
      <c r="AE162" s="158"/>
      <c r="AF162" s="158"/>
      <c r="AG162" s="158"/>
      <c r="AH162" s="158" t="s">
        <v>1061</v>
      </c>
      <c r="AI162" s="158"/>
      <c r="AJ162" s="158"/>
      <c r="AK162" s="279"/>
    </row>
    <row r="163" spans="1:37" s="35" customFormat="1" x14ac:dyDescent="0.2">
      <c r="A163" s="37" t="s">
        <v>207</v>
      </c>
      <c r="B163" s="314"/>
      <c r="C163" s="14" t="s">
        <v>114</v>
      </c>
      <c r="D163" s="15"/>
      <c r="E163" s="15" t="s">
        <v>228</v>
      </c>
      <c r="F163" s="15" t="s">
        <v>966</v>
      </c>
      <c r="G163" s="315" t="s">
        <v>61</v>
      </c>
      <c r="H163" s="19"/>
      <c r="I163" s="19" t="s">
        <v>62</v>
      </c>
      <c r="J163" s="19" t="s">
        <v>238</v>
      </c>
      <c r="K163" s="19" t="s">
        <v>239</v>
      </c>
      <c r="L163" s="94">
        <v>2256</v>
      </c>
      <c r="M163" s="94"/>
      <c r="N163" s="22" t="s">
        <v>1011</v>
      </c>
      <c r="O163" s="23">
        <v>42313</v>
      </c>
      <c r="P163" s="22" t="s">
        <v>1011</v>
      </c>
      <c r="Q163" s="23">
        <v>42552</v>
      </c>
      <c r="R163" s="20" t="s">
        <v>1011</v>
      </c>
      <c r="S163" s="21">
        <v>42871</v>
      </c>
      <c r="T163" s="22" t="s">
        <v>1011</v>
      </c>
      <c r="U163" s="23">
        <v>42552</v>
      </c>
      <c r="V163" s="22" t="s">
        <v>1011</v>
      </c>
      <c r="W163" s="23">
        <v>42552</v>
      </c>
      <c r="X163" s="130" t="s">
        <v>987</v>
      </c>
      <c r="Y163" s="132" t="s">
        <v>208</v>
      </c>
      <c r="Z163" s="134">
        <v>40241</v>
      </c>
      <c r="AA163" s="103" t="s">
        <v>1010</v>
      </c>
      <c r="AB163" s="318">
        <v>42270</v>
      </c>
      <c r="AC163" s="320">
        <v>43007</v>
      </c>
      <c r="AD163" s="158" t="s">
        <v>1060</v>
      </c>
      <c r="AE163" s="174" t="s">
        <v>1061</v>
      </c>
      <c r="AF163" s="158" t="s">
        <v>1061</v>
      </c>
      <c r="AG163" s="158" t="s">
        <v>998</v>
      </c>
      <c r="AH163" s="158" t="s">
        <v>1061</v>
      </c>
      <c r="AI163" s="158" t="s">
        <v>998</v>
      </c>
      <c r="AJ163" s="158" t="s">
        <v>1061</v>
      </c>
      <c r="AK163" s="279" t="s">
        <v>998</v>
      </c>
    </row>
    <row r="164" spans="1:37" x14ac:dyDescent="0.2">
      <c r="A164" s="307" t="s">
        <v>152</v>
      </c>
      <c r="B164" s="8"/>
      <c r="C164" s="8" t="s">
        <v>113</v>
      </c>
      <c r="D164" s="8"/>
      <c r="E164" s="8" t="s">
        <v>203</v>
      </c>
      <c r="F164" s="8" t="s">
        <v>965</v>
      </c>
      <c r="G164" s="7" t="s">
        <v>56</v>
      </c>
      <c r="H164" s="8" t="s">
        <v>110</v>
      </c>
      <c r="I164" s="7"/>
      <c r="J164" s="7"/>
      <c r="K164" s="10" t="s">
        <v>460</v>
      </c>
      <c r="L164" s="93">
        <v>50</v>
      </c>
      <c r="M164" s="93"/>
      <c r="N164" s="20" t="s">
        <v>476</v>
      </c>
      <c r="O164" s="21">
        <v>42514</v>
      </c>
      <c r="P164" s="20" t="s">
        <v>476</v>
      </c>
      <c r="Q164" s="21">
        <v>41414</v>
      </c>
      <c r="R164" s="20" t="s">
        <v>476</v>
      </c>
      <c r="S164" s="21">
        <v>42564</v>
      </c>
      <c r="T164" s="7"/>
      <c r="U164" s="7"/>
      <c r="V164" s="7"/>
      <c r="W164" s="7"/>
      <c r="X164" s="130" t="s">
        <v>987</v>
      </c>
      <c r="Y164" s="130" t="s">
        <v>380</v>
      </c>
      <c r="Z164" s="131">
        <v>39757</v>
      </c>
      <c r="AA164" s="38" t="s">
        <v>1035</v>
      </c>
      <c r="AB164" s="318">
        <v>42474</v>
      </c>
      <c r="AC164" s="320">
        <v>42312</v>
      </c>
      <c r="AD164" s="158" t="s">
        <v>1061</v>
      </c>
      <c r="AE164" s="158" t="s">
        <v>998</v>
      </c>
      <c r="AF164" s="158"/>
      <c r="AG164" s="158"/>
      <c r="AH164" s="158" t="s">
        <v>1061</v>
      </c>
      <c r="AI164" s="158"/>
      <c r="AJ164" s="158" t="s">
        <v>998</v>
      </c>
      <c r="AK164" s="279" t="s">
        <v>1061</v>
      </c>
    </row>
    <row r="165" spans="1:37" x14ac:dyDescent="0.2">
      <c r="A165" s="307" t="s">
        <v>900</v>
      </c>
      <c r="B165" s="8"/>
      <c r="C165" s="8" t="s">
        <v>113</v>
      </c>
      <c r="D165" s="8"/>
      <c r="E165" s="8" t="s">
        <v>193</v>
      </c>
      <c r="F165" s="8" t="s">
        <v>973</v>
      </c>
      <c r="G165" s="7" t="s">
        <v>56</v>
      </c>
      <c r="H165" s="8" t="s">
        <v>126</v>
      </c>
      <c r="I165" s="7"/>
      <c r="J165" s="7"/>
      <c r="K165" s="10" t="s">
        <v>154</v>
      </c>
      <c r="L165" s="93">
        <v>208</v>
      </c>
      <c r="M165" s="93"/>
      <c r="N165" s="20" t="s">
        <v>495</v>
      </c>
      <c r="O165" s="21">
        <v>42144</v>
      </c>
      <c r="P165" s="20" t="s">
        <v>495</v>
      </c>
      <c r="Q165" s="21">
        <v>41780</v>
      </c>
      <c r="R165" s="22" t="s">
        <v>495</v>
      </c>
      <c r="S165" s="23">
        <v>42891</v>
      </c>
      <c r="T165" s="7"/>
      <c r="U165" s="7"/>
      <c r="V165" s="7"/>
      <c r="W165" s="7"/>
      <c r="X165" s="89" t="s">
        <v>989</v>
      </c>
      <c r="Y165" s="89" t="s">
        <v>832</v>
      </c>
      <c r="Z165" s="90">
        <v>41991</v>
      </c>
      <c r="AA165" s="10" t="s">
        <v>899</v>
      </c>
      <c r="AB165" s="318">
        <v>41311</v>
      </c>
      <c r="AC165" s="322">
        <v>42304</v>
      </c>
      <c r="AD165" s="158" t="s">
        <v>1061</v>
      </c>
      <c r="AE165" s="158"/>
      <c r="AF165" s="158" t="s">
        <v>1061</v>
      </c>
      <c r="AG165" s="158" t="s">
        <v>998</v>
      </c>
      <c r="AH165" s="158"/>
      <c r="AI165" s="158" t="s">
        <v>1061</v>
      </c>
      <c r="AJ165" s="158"/>
      <c r="AK165" s="279"/>
    </row>
    <row r="166" spans="1:37" x14ac:dyDescent="0.2">
      <c r="A166" s="307" t="s">
        <v>884</v>
      </c>
      <c r="B166" s="8"/>
      <c r="C166" s="8" t="s">
        <v>112</v>
      </c>
      <c r="D166" s="8"/>
      <c r="E166" s="8" t="s">
        <v>183</v>
      </c>
      <c r="F166" s="10" t="s">
        <v>972</v>
      </c>
      <c r="G166" s="7" t="s">
        <v>56</v>
      </c>
      <c r="H166" s="8" t="s">
        <v>110</v>
      </c>
      <c r="I166" s="7"/>
      <c r="J166" s="7"/>
      <c r="K166" s="10" t="s">
        <v>885</v>
      </c>
      <c r="L166" s="93">
        <v>1176</v>
      </c>
      <c r="M166" s="93"/>
      <c r="N166" s="20" t="s">
        <v>886</v>
      </c>
      <c r="O166" s="21">
        <v>42129</v>
      </c>
      <c r="P166" s="20" t="s">
        <v>886</v>
      </c>
      <c r="Q166" s="21">
        <v>42153</v>
      </c>
      <c r="R166" s="20" t="s">
        <v>886</v>
      </c>
      <c r="S166" s="21">
        <v>42156</v>
      </c>
      <c r="T166" s="20" t="s">
        <v>886</v>
      </c>
      <c r="U166" s="21">
        <v>42145</v>
      </c>
      <c r="V166" s="10"/>
      <c r="W166" s="10"/>
      <c r="X166" s="89" t="s">
        <v>989</v>
      </c>
      <c r="Y166" s="89" t="s">
        <v>905</v>
      </c>
      <c r="Z166" s="90">
        <v>42160</v>
      </c>
      <c r="AA166" s="10" t="s">
        <v>887</v>
      </c>
      <c r="AB166" s="328">
        <v>43040</v>
      </c>
      <c r="AC166" s="327"/>
      <c r="AD166" s="158" t="s">
        <v>1060</v>
      </c>
      <c r="AE166" s="158"/>
      <c r="AF166" s="158" t="s">
        <v>998</v>
      </c>
      <c r="AG166" s="158" t="s">
        <v>1061</v>
      </c>
      <c r="AH166" s="158"/>
      <c r="AI166" s="158" t="s">
        <v>998</v>
      </c>
      <c r="AJ166" s="158" t="s">
        <v>1061</v>
      </c>
      <c r="AK166" s="279"/>
    </row>
    <row r="167" spans="1:37" s="35" customFormat="1" x14ac:dyDescent="0.2">
      <c r="A167" s="37" t="s">
        <v>274</v>
      </c>
      <c r="B167" s="10"/>
      <c r="C167" s="10" t="s">
        <v>113</v>
      </c>
      <c r="D167" s="10"/>
      <c r="E167" s="10" t="s">
        <v>227</v>
      </c>
      <c r="F167" s="10" t="s">
        <v>960</v>
      </c>
      <c r="G167" s="7" t="s">
        <v>75</v>
      </c>
      <c r="H167" s="10" t="s">
        <v>275</v>
      </c>
      <c r="I167" s="7"/>
      <c r="J167" s="7"/>
      <c r="K167" s="10" t="s">
        <v>276</v>
      </c>
      <c r="L167" s="93">
        <v>25</v>
      </c>
      <c r="M167" s="93"/>
      <c r="N167" s="20" t="s">
        <v>1285</v>
      </c>
      <c r="O167" s="21">
        <v>42733</v>
      </c>
      <c r="P167" s="20" t="s">
        <v>386</v>
      </c>
      <c r="Q167" s="21">
        <v>41201</v>
      </c>
      <c r="R167" s="150" t="s">
        <v>386</v>
      </c>
      <c r="S167" s="151">
        <v>41304</v>
      </c>
      <c r="T167" s="7"/>
      <c r="U167" s="7"/>
      <c r="V167" s="7"/>
      <c r="W167" s="7"/>
      <c r="X167" s="156" t="s">
        <v>988</v>
      </c>
      <c r="Y167" s="140" t="s">
        <v>933</v>
      </c>
      <c r="Z167" s="137">
        <v>38506</v>
      </c>
      <c r="AA167" s="10" t="s">
        <v>1034</v>
      </c>
      <c r="AB167" s="318">
        <v>42172</v>
      </c>
      <c r="AC167" s="320">
        <v>43011</v>
      </c>
      <c r="AD167" s="158" t="s">
        <v>1060</v>
      </c>
      <c r="AE167" s="158"/>
      <c r="AF167" s="158" t="s">
        <v>1061</v>
      </c>
      <c r="AG167" s="158"/>
      <c r="AH167" s="158"/>
      <c r="AI167" s="158" t="s">
        <v>998</v>
      </c>
      <c r="AJ167" s="158" t="s">
        <v>1061</v>
      </c>
      <c r="AK167" s="279"/>
    </row>
    <row r="168" spans="1:37" x14ac:dyDescent="0.2">
      <c r="A168" s="37" t="s">
        <v>1229</v>
      </c>
      <c r="B168" s="10"/>
      <c r="C168" s="7" t="s">
        <v>112</v>
      </c>
      <c r="D168" s="10"/>
      <c r="E168" s="10" t="s">
        <v>182</v>
      </c>
      <c r="F168" s="10" t="s">
        <v>959</v>
      </c>
      <c r="G168" s="7" t="s">
        <v>56</v>
      </c>
      <c r="H168" s="7" t="s">
        <v>57</v>
      </c>
      <c r="I168" s="312"/>
      <c r="J168" s="7"/>
      <c r="K168" s="7" t="s">
        <v>94</v>
      </c>
      <c r="L168" s="93">
        <v>370</v>
      </c>
      <c r="M168" s="93"/>
      <c r="N168" s="20" t="s">
        <v>624</v>
      </c>
      <c r="O168" s="21">
        <v>42681</v>
      </c>
      <c r="P168" s="20" t="s">
        <v>624</v>
      </c>
      <c r="Q168" s="21">
        <v>41823</v>
      </c>
      <c r="R168" s="20" t="s">
        <v>624</v>
      </c>
      <c r="S168" s="21">
        <v>42221</v>
      </c>
      <c r="T168" s="20" t="s">
        <v>624</v>
      </c>
      <c r="U168" s="21">
        <v>41824</v>
      </c>
      <c r="V168" s="7"/>
      <c r="W168" s="7"/>
      <c r="X168" s="89" t="s">
        <v>989</v>
      </c>
      <c r="Y168" s="89" t="s">
        <v>1259</v>
      </c>
      <c r="Z168" s="90">
        <v>42690</v>
      </c>
      <c r="AA168" s="38" t="s">
        <v>1033</v>
      </c>
      <c r="AB168" s="318">
        <v>42641</v>
      </c>
      <c r="AC168" s="320">
        <v>42858</v>
      </c>
      <c r="AD168" s="158" t="s">
        <v>1061</v>
      </c>
      <c r="AE168" s="158" t="s">
        <v>998</v>
      </c>
      <c r="AF168" s="158" t="s">
        <v>1061</v>
      </c>
      <c r="AG168" s="158"/>
      <c r="AH168" s="158" t="s">
        <v>998</v>
      </c>
      <c r="AI168" s="158" t="s">
        <v>1061</v>
      </c>
      <c r="AJ168" s="158"/>
      <c r="AK168" s="279" t="s">
        <v>998</v>
      </c>
    </row>
    <row r="169" spans="1:37" x14ac:dyDescent="0.2">
      <c r="A169" s="37" t="s">
        <v>356</v>
      </c>
      <c r="B169" s="10"/>
      <c r="C169" s="7" t="s">
        <v>113</v>
      </c>
      <c r="D169" s="10"/>
      <c r="E169" s="10" t="s">
        <v>357</v>
      </c>
      <c r="F169" s="10" t="s">
        <v>971</v>
      </c>
      <c r="G169" s="7" t="s">
        <v>61</v>
      </c>
      <c r="H169" s="7" t="s">
        <v>235</v>
      </c>
      <c r="I169" s="312"/>
      <c r="J169" s="7"/>
      <c r="K169" s="7" t="s">
        <v>1177</v>
      </c>
      <c r="L169" s="93">
        <v>12</v>
      </c>
      <c r="M169" s="93"/>
      <c r="N169" s="20" t="s">
        <v>1176</v>
      </c>
      <c r="O169" s="21">
        <v>42523</v>
      </c>
      <c r="P169" s="20" t="s">
        <v>1176</v>
      </c>
      <c r="Q169" s="21">
        <v>42762</v>
      </c>
      <c r="R169" s="20" t="s">
        <v>1176</v>
      </c>
      <c r="S169" s="21">
        <v>42786</v>
      </c>
      <c r="T169" s="7"/>
      <c r="U169" s="7"/>
      <c r="V169" s="7"/>
      <c r="W169" s="7"/>
      <c r="X169" s="130" t="s">
        <v>987</v>
      </c>
      <c r="Y169" s="130" t="s">
        <v>381</v>
      </c>
      <c r="Z169" s="131">
        <v>40669</v>
      </c>
      <c r="AA169" s="38" t="s">
        <v>1032</v>
      </c>
      <c r="AB169" s="318">
        <v>42620</v>
      </c>
      <c r="AC169" s="320">
        <v>41453</v>
      </c>
      <c r="AD169" s="158" t="s">
        <v>1061</v>
      </c>
      <c r="AE169" s="158" t="s">
        <v>998</v>
      </c>
      <c r="AF169" s="158"/>
      <c r="AG169" s="158" t="s">
        <v>1061</v>
      </c>
      <c r="AH169" s="158"/>
      <c r="AI169" s="158"/>
      <c r="AJ169" s="158" t="s">
        <v>1061</v>
      </c>
      <c r="AK169" s="279" t="s">
        <v>998</v>
      </c>
    </row>
    <row r="170" spans="1:37" s="35" customFormat="1" x14ac:dyDescent="0.2">
      <c r="A170" s="307" t="s">
        <v>981</v>
      </c>
      <c r="B170" s="8"/>
      <c r="C170" s="9" t="s">
        <v>113</v>
      </c>
      <c r="D170" s="9"/>
      <c r="E170" s="9" t="s">
        <v>193</v>
      </c>
      <c r="F170" s="8" t="s">
        <v>973</v>
      </c>
      <c r="G170" s="7" t="s">
        <v>56</v>
      </c>
      <c r="H170" s="8" t="s">
        <v>126</v>
      </c>
      <c r="I170" s="7"/>
      <c r="J170" s="7"/>
      <c r="K170" s="10" t="s">
        <v>156</v>
      </c>
      <c r="L170" s="93">
        <v>142</v>
      </c>
      <c r="M170" s="93"/>
      <c r="N170" s="21" t="s">
        <v>1154</v>
      </c>
      <c r="O170" s="21">
        <v>42514</v>
      </c>
      <c r="P170" s="20" t="s">
        <v>1154</v>
      </c>
      <c r="Q170" s="21">
        <v>42933</v>
      </c>
      <c r="R170" s="20" t="s">
        <v>363</v>
      </c>
      <c r="S170" s="21">
        <v>41980</v>
      </c>
      <c r="T170" s="7"/>
      <c r="U170" s="7"/>
      <c r="V170" s="7"/>
      <c r="W170" s="7"/>
      <c r="X170" s="89" t="s">
        <v>989</v>
      </c>
      <c r="Y170" s="89" t="s">
        <v>824</v>
      </c>
      <c r="Z170" s="90">
        <v>41984</v>
      </c>
      <c r="AA170" s="10" t="s">
        <v>1031</v>
      </c>
      <c r="AB170" s="318">
        <v>42104</v>
      </c>
      <c r="AC170" s="320">
        <v>42061</v>
      </c>
      <c r="AD170" s="158" t="s">
        <v>1060</v>
      </c>
      <c r="AE170" s="158"/>
      <c r="AF170" s="158"/>
      <c r="AG170" s="158" t="s">
        <v>1061</v>
      </c>
      <c r="AH170" s="158"/>
      <c r="AI170" s="158" t="s">
        <v>998</v>
      </c>
      <c r="AJ170" s="158" t="s">
        <v>1061</v>
      </c>
      <c r="AK170" s="279"/>
    </row>
    <row r="171" spans="1:37" x14ac:dyDescent="0.2">
      <c r="A171" s="307" t="s">
        <v>982</v>
      </c>
      <c r="B171" s="8"/>
      <c r="C171" s="9" t="s">
        <v>113</v>
      </c>
      <c r="D171" s="9"/>
      <c r="E171" s="9" t="s">
        <v>193</v>
      </c>
      <c r="F171" s="8" t="s">
        <v>973</v>
      </c>
      <c r="G171" s="7" t="s">
        <v>56</v>
      </c>
      <c r="H171" s="8" t="s">
        <v>126</v>
      </c>
      <c r="I171" s="7"/>
      <c r="J171" s="7"/>
      <c r="K171" s="10" t="s">
        <v>155</v>
      </c>
      <c r="L171" s="93">
        <v>192</v>
      </c>
      <c r="M171" s="93"/>
      <c r="N171" s="21" t="s">
        <v>1154</v>
      </c>
      <c r="O171" s="21">
        <v>42514</v>
      </c>
      <c r="P171" s="20" t="s">
        <v>1154</v>
      </c>
      <c r="Q171" s="21">
        <v>42971</v>
      </c>
      <c r="R171" s="20" t="s">
        <v>363</v>
      </c>
      <c r="S171" s="21">
        <v>41980</v>
      </c>
      <c r="T171" s="7"/>
      <c r="U171" s="7"/>
      <c r="V171" s="7"/>
      <c r="W171" s="7"/>
      <c r="X171" s="89" t="s">
        <v>989</v>
      </c>
      <c r="Y171" s="89" t="s">
        <v>825</v>
      </c>
      <c r="Z171" s="90">
        <v>41995</v>
      </c>
      <c r="AA171" s="10" t="s">
        <v>1031</v>
      </c>
      <c r="AB171" s="318">
        <v>42104</v>
      </c>
      <c r="AC171" s="320">
        <v>42061</v>
      </c>
      <c r="AD171" s="158" t="s">
        <v>1060</v>
      </c>
      <c r="AE171" s="158"/>
      <c r="AF171" s="158"/>
      <c r="AG171" s="158" t="s">
        <v>1061</v>
      </c>
      <c r="AH171" s="158"/>
      <c r="AI171" s="158" t="s">
        <v>998</v>
      </c>
      <c r="AJ171" s="158" t="s">
        <v>1061</v>
      </c>
      <c r="AK171" s="279"/>
    </row>
    <row r="172" spans="1:37" x14ac:dyDescent="0.2">
      <c r="A172" s="37" t="s">
        <v>24</v>
      </c>
      <c r="B172" s="10"/>
      <c r="C172" s="7" t="s">
        <v>114</v>
      </c>
      <c r="D172" s="10"/>
      <c r="E172" s="10" t="s">
        <v>188</v>
      </c>
      <c r="F172" s="10" t="s">
        <v>967</v>
      </c>
      <c r="G172" s="7" t="s">
        <v>56</v>
      </c>
      <c r="H172" s="7" t="s">
        <v>88</v>
      </c>
      <c r="I172" s="312"/>
      <c r="J172" s="7"/>
      <c r="K172" s="7" t="s">
        <v>1364</v>
      </c>
      <c r="L172" s="93">
        <v>438</v>
      </c>
      <c r="M172" s="93"/>
      <c r="N172" s="20" t="s">
        <v>1198</v>
      </c>
      <c r="O172" s="21">
        <v>42690</v>
      </c>
      <c r="P172" s="20" t="s">
        <v>1198</v>
      </c>
      <c r="Q172" s="21">
        <v>42923</v>
      </c>
      <c r="R172" s="20" t="s">
        <v>1198</v>
      </c>
      <c r="S172" s="21">
        <v>42895</v>
      </c>
      <c r="T172" s="20" t="s">
        <v>1198</v>
      </c>
      <c r="U172" s="21">
        <v>42923</v>
      </c>
      <c r="V172" s="22" t="s">
        <v>1198</v>
      </c>
      <c r="W172" s="21">
        <v>42923</v>
      </c>
      <c r="X172" s="89" t="s">
        <v>989</v>
      </c>
      <c r="Y172" s="89" t="s">
        <v>23</v>
      </c>
      <c r="Z172" s="90">
        <v>40875</v>
      </c>
      <c r="AA172" s="38" t="s">
        <v>1030</v>
      </c>
      <c r="AB172" s="318">
        <v>42641</v>
      </c>
      <c r="AC172" s="320">
        <v>42900</v>
      </c>
      <c r="AD172" s="158" t="s">
        <v>1060</v>
      </c>
      <c r="AE172" s="158" t="s">
        <v>1262</v>
      </c>
      <c r="AF172" s="158" t="s">
        <v>1061</v>
      </c>
      <c r="AG172" s="158" t="s">
        <v>998</v>
      </c>
      <c r="AH172" s="158" t="s">
        <v>1061</v>
      </c>
      <c r="AI172" s="158" t="s">
        <v>998</v>
      </c>
      <c r="AJ172" s="158" t="s">
        <v>1061</v>
      </c>
      <c r="AK172" s="279" t="s">
        <v>998</v>
      </c>
    </row>
    <row r="173" spans="1:37" s="278" customFormat="1" x14ac:dyDescent="0.2">
      <c r="A173" s="281" t="s">
        <v>364</v>
      </c>
      <c r="B173" s="282" t="s">
        <v>1443</v>
      </c>
      <c r="C173" s="282" t="s">
        <v>113</v>
      </c>
      <c r="D173" s="282"/>
      <c r="E173" s="282" t="s">
        <v>188</v>
      </c>
      <c r="F173" s="282" t="s">
        <v>967</v>
      </c>
      <c r="G173" s="282" t="s">
        <v>61</v>
      </c>
      <c r="H173" s="282"/>
      <c r="I173" s="280" t="s">
        <v>322</v>
      </c>
      <c r="J173" s="282" t="s">
        <v>365</v>
      </c>
      <c r="K173" s="282" t="s">
        <v>1270</v>
      </c>
      <c r="L173" s="282"/>
      <c r="M173" s="282"/>
      <c r="N173" s="286" t="s">
        <v>1269</v>
      </c>
      <c r="O173" s="285">
        <v>42797</v>
      </c>
      <c r="P173" s="288" t="s">
        <v>431</v>
      </c>
      <c r="Q173" s="284">
        <v>41087</v>
      </c>
      <c r="R173" s="288" t="s">
        <v>251</v>
      </c>
      <c r="S173" s="284">
        <v>40981</v>
      </c>
      <c r="T173" s="282"/>
      <c r="U173" s="282"/>
      <c r="V173" s="282"/>
      <c r="W173" s="282"/>
      <c r="X173" s="282" t="s">
        <v>989</v>
      </c>
      <c r="Y173" s="282" t="s">
        <v>1320</v>
      </c>
      <c r="Z173" s="285">
        <v>42801</v>
      </c>
      <c r="AA173" s="285" t="s">
        <v>1030</v>
      </c>
      <c r="AB173" s="324"/>
      <c r="AC173" s="323">
        <v>42753</v>
      </c>
      <c r="AD173" s="268"/>
      <c r="AE173" s="269" t="s">
        <v>1061</v>
      </c>
      <c r="AF173" s="268" t="s">
        <v>1061</v>
      </c>
      <c r="AG173" s="268"/>
      <c r="AH173" s="268"/>
      <c r="AI173" s="268"/>
      <c r="AJ173" s="268"/>
      <c r="AK173" s="287"/>
    </row>
    <row r="174" spans="1:37" x14ac:dyDescent="0.2">
      <c r="A174" s="307" t="s">
        <v>637</v>
      </c>
      <c r="B174" s="8"/>
      <c r="C174" s="11" t="s">
        <v>113</v>
      </c>
      <c r="D174" s="8"/>
      <c r="E174" s="8" t="s">
        <v>188</v>
      </c>
      <c r="F174" s="8" t="s">
        <v>967</v>
      </c>
      <c r="G174" s="7" t="s">
        <v>56</v>
      </c>
      <c r="H174" s="11" t="s">
        <v>88</v>
      </c>
      <c r="I174" s="7"/>
      <c r="J174" s="7"/>
      <c r="K174" s="11" t="s">
        <v>137</v>
      </c>
      <c r="L174" s="95">
        <v>243</v>
      </c>
      <c r="M174" s="95"/>
      <c r="N174" s="30" t="s">
        <v>1269</v>
      </c>
      <c r="O174" s="21">
        <v>42705</v>
      </c>
      <c r="P174" s="20" t="s">
        <v>1269</v>
      </c>
      <c r="Q174" s="21">
        <v>42996</v>
      </c>
      <c r="R174" s="21">
        <v>42641</v>
      </c>
      <c r="S174" s="21">
        <v>42986</v>
      </c>
      <c r="T174" s="7"/>
      <c r="U174" s="7"/>
      <c r="V174" s="7"/>
      <c r="W174" s="7"/>
      <c r="X174" s="89" t="s">
        <v>989</v>
      </c>
      <c r="Y174" s="89" t="s">
        <v>644</v>
      </c>
      <c r="Z174" s="90">
        <v>41730</v>
      </c>
      <c r="AA174" s="38" t="s">
        <v>1030</v>
      </c>
      <c r="AB174" s="325"/>
      <c r="AC174" s="320">
        <v>42900</v>
      </c>
      <c r="AD174" s="158" t="s">
        <v>1061</v>
      </c>
      <c r="AE174" s="158"/>
      <c r="AF174" s="158" t="s">
        <v>1061</v>
      </c>
      <c r="AG174" s="158"/>
      <c r="AH174" s="158"/>
      <c r="AI174" s="158"/>
      <c r="AJ174" s="158"/>
      <c r="AK174" s="279" t="s">
        <v>1061</v>
      </c>
    </row>
    <row r="175" spans="1:37" x14ac:dyDescent="0.2">
      <c r="A175" s="37" t="s">
        <v>330</v>
      </c>
      <c r="B175" s="10"/>
      <c r="C175" s="7" t="s">
        <v>113</v>
      </c>
      <c r="D175" s="10"/>
      <c r="E175" s="10" t="s">
        <v>193</v>
      </c>
      <c r="F175" s="8" t="s">
        <v>973</v>
      </c>
      <c r="G175" s="7" t="s">
        <v>72</v>
      </c>
      <c r="H175" s="7" t="s">
        <v>73</v>
      </c>
      <c r="I175" s="312"/>
      <c r="J175" s="7"/>
      <c r="K175" s="7" t="s">
        <v>331</v>
      </c>
      <c r="L175" s="93">
        <v>422</v>
      </c>
      <c r="M175" s="93"/>
      <c r="N175" s="20" t="s">
        <v>1206</v>
      </c>
      <c r="O175" s="21">
        <v>42615</v>
      </c>
      <c r="P175" s="20" t="s">
        <v>470</v>
      </c>
      <c r="Q175" s="21">
        <v>41388</v>
      </c>
      <c r="R175" s="20" t="s">
        <v>470</v>
      </c>
      <c r="S175" s="21">
        <v>41780</v>
      </c>
      <c r="T175" s="7"/>
      <c r="U175" s="7"/>
      <c r="V175" s="7"/>
      <c r="W175" s="7"/>
      <c r="X175" s="89" t="s">
        <v>989</v>
      </c>
      <c r="Y175" s="89" t="s">
        <v>665</v>
      </c>
      <c r="Z175" s="90">
        <v>41792</v>
      </c>
      <c r="AA175" s="38" t="s">
        <v>1029</v>
      </c>
      <c r="AB175" s="318">
        <v>42984</v>
      </c>
      <c r="AC175" s="320">
        <v>41754</v>
      </c>
      <c r="AD175" s="158"/>
      <c r="AE175" s="158"/>
      <c r="AF175" s="244" t="s">
        <v>998</v>
      </c>
      <c r="AG175" s="158" t="s">
        <v>1061</v>
      </c>
      <c r="AH175" s="158"/>
      <c r="AI175" s="158"/>
      <c r="AJ175" s="158" t="s">
        <v>1061</v>
      </c>
      <c r="AK175" s="279" t="s">
        <v>998</v>
      </c>
    </row>
    <row r="176" spans="1:37" s="35" customFormat="1" x14ac:dyDescent="0.2">
      <c r="A176" s="306" t="s">
        <v>1257</v>
      </c>
      <c r="B176" s="313" t="s">
        <v>1372</v>
      </c>
      <c r="C176" s="8" t="s">
        <v>113</v>
      </c>
      <c r="D176" s="8" t="s">
        <v>977</v>
      </c>
      <c r="E176" s="8" t="s">
        <v>252</v>
      </c>
      <c r="F176" s="153" t="s">
        <v>975</v>
      </c>
      <c r="G176" s="7" t="s">
        <v>56</v>
      </c>
      <c r="H176" s="8" t="s">
        <v>88</v>
      </c>
      <c r="I176" s="7"/>
      <c r="J176" s="7"/>
      <c r="K176" s="10" t="s">
        <v>1258</v>
      </c>
      <c r="L176" s="93">
        <v>0</v>
      </c>
      <c r="M176" s="93"/>
      <c r="N176" s="20" t="s">
        <v>985</v>
      </c>
      <c r="O176" s="21">
        <v>42705</v>
      </c>
      <c r="P176" s="20" t="s">
        <v>985</v>
      </c>
      <c r="Q176" s="21">
        <v>42825</v>
      </c>
      <c r="R176" s="20" t="s">
        <v>985</v>
      </c>
      <c r="S176" s="21">
        <v>42892</v>
      </c>
      <c r="T176" s="7"/>
      <c r="U176" s="7"/>
      <c r="V176" s="7"/>
      <c r="W176" s="7"/>
      <c r="X176" s="89" t="s">
        <v>989</v>
      </c>
      <c r="Y176" s="100" t="s">
        <v>1360</v>
      </c>
      <c r="Z176" s="90">
        <v>42901</v>
      </c>
      <c r="AA176" s="10" t="s">
        <v>984</v>
      </c>
      <c r="AB176" s="318">
        <v>42801</v>
      </c>
      <c r="AC176" s="327"/>
      <c r="AD176" s="158"/>
      <c r="AE176" s="158"/>
      <c r="AF176" s="244" t="s">
        <v>998</v>
      </c>
      <c r="AG176" s="158" t="s">
        <v>1061</v>
      </c>
      <c r="AH176" s="158"/>
      <c r="AI176" s="158"/>
      <c r="AJ176" s="158" t="s">
        <v>1061</v>
      </c>
      <c r="AK176" s="279" t="s">
        <v>998</v>
      </c>
    </row>
    <row r="177" spans="1:37" x14ac:dyDescent="0.2">
      <c r="A177" s="37" t="s">
        <v>22</v>
      </c>
      <c r="B177" s="10"/>
      <c r="C177" s="7" t="s">
        <v>112</v>
      </c>
      <c r="D177" s="10" t="s">
        <v>977</v>
      </c>
      <c r="E177" s="10" t="s">
        <v>692</v>
      </c>
      <c r="F177" s="10" t="s">
        <v>961</v>
      </c>
      <c r="G177" s="7" t="s">
        <v>56</v>
      </c>
      <c r="H177" s="7" t="s">
        <v>88</v>
      </c>
      <c r="I177" s="312"/>
      <c r="J177" s="7"/>
      <c r="K177" s="7" t="s">
        <v>92</v>
      </c>
      <c r="L177" s="93">
        <v>324</v>
      </c>
      <c r="M177" s="93"/>
      <c r="N177" s="20" t="s">
        <v>623</v>
      </c>
      <c r="O177" s="21">
        <v>42521</v>
      </c>
      <c r="P177" s="20" t="s">
        <v>623</v>
      </c>
      <c r="Q177" s="21">
        <v>41800</v>
      </c>
      <c r="R177" s="20" t="s">
        <v>623</v>
      </c>
      <c r="S177" s="21">
        <v>42228</v>
      </c>
      <c r="T177" s="20" t="s">
        <v>623</v>
      </c>
      <c r="U177" s="21">
        <v>41827</v>
      </c>
      <c r="V177" s="7"/>
      <c r="W177" s="7"/>
      <c r="X177" s="89" t="s">
        <v>989</v>
      </c>
      <c r="Y177" s="89" t="s">
        <v>21</v>
      </c>
      <c r="Z177" s="90">
        <v>40875</v>
      </c>
      <c r="AA177" s="38" t="s">
        <v>1007</v>
      </c>
      <c r="AB177" s="319">
        <v>42461</v>
      </c>
      <c r="AC177" s="320">
        <v>42914</v>
      </c>
      <c r="AD177" s="158" t="s">
        <v>1061</v>
      </c>
      <c r="AE177" s="158" t="s">
        <v>998</v>
      </c>
      <c r="AF177" s="158" t="s">
        <v>1061</v>
      </c>
      <c r="AG177" s="158"/>
      <c r="AH177" s="158" t="s">
        <v>998</v>
      </c>
      <c r="AI177" s="158" t="s">
        <v>1061</v>
      </c>
      <c r="AJ177" s="158"/>
      <c r="AK177" s="279" t="s">
        <v>998</v>
      </c>
    </row>
    <row r="178" spans="1:37" x14ac:dyDescent="0.2">
      <c r="A178" s="37" t="s">
        <v>774</v>
      </c>
      <c r="B178" s="10" t="s">
        <v>1252</v>
      </c>
      <c r="C178" s="10" t="s">
        <v>113</v>
      </c>
      <c r="D178" s="10"/>
      <c r="E178" s="10" t="s">
        <v>182</v>
      </c>
      <c r="F178" s="10" t="s">
        <v>959</v>
      </c>
      <c r="G178" s="7" t="s">
        <v>75</v>
      </c>
      <c r="H178" s="7"/>
      <c r="I178" s="312" t="s">
        <v>229</v>
      </c>
      <c r="J178" s="7" t="s">
        <v>272</v>
      </c>
      <c r="K178" s="10" t="s">
        <v>811</v>
      </c>
      <c r="L178" s="93">
        <v>23</v>
      </c>
      <c r="M178" s="93"/>
      <c r="N178" s="20" t="s">
        <v>471</v>
      </c>
      <c r="O178" s="21">
        <v>42681</v>
      </c>
      <c r="P178" s="20" t="s">
        <v>471</v>
      </c>
      <c r="Q178" s="21">
        <v>41418</v>
      </c>
      <c r="R178" s="20" t="s">
        <v>471</v>
      </c>
      <c r="S178" s="21">
        <v>42132</v>
      </c>
      <c r="T178" s="7"/>
      <c r="U178" s="7"/>
      <c r="V178" s="7"/>
      <c r="W178" s="7"/>
      <c r="X178" s="89" t="s">
        <v>989</v>
      </c>
      <c r="Y178" s="100" t="s">
        <v>897</v>
      </c>
      <c r="Z178" s="90">
        <v>42144</v>
      </c>
      <c r="AA178" s="38" t="s">
        <v>775</v>
      </c>
      <c r="AB178" s="318">
        <v>42620</v>
      </c>
      <c r="AC178" s="320">
        <v>42303</v>
      </c>
      <c r="AD178" s="158"/>
      <c r="AE178" s="158" t="s">
        <v>998</v>
      </c>
      <c r="AF178" s="158" t="s">
        <v>1061</v>
      </c>
      <c r="AG178" s="158"/>
      <c r="AH178" s="158"/>
      <c r="AI178" s="158" t="s">
        <v>1061</v>
      </c>
      <c r="AJ178" s="158" t="s">
        <v>998</v>
      </c>
      <c r="AK178" s="279"/>
    </row>
    <row r="179" spans="1:37" x14ac:dyDescent="0.2">
      <c r="A179" s="26" t="s">
        <v>209</v>
      </c>
      <c r="B179" s="314"/>
      <c r="C179" s="17" t="s">
        <v>112</v>
      </c>
      <c r="D179" s="15"/>
      <c r="E179" s="15" t="s">
        <v>227</v>
      </c>
      <c r="F179" s="15" t="s">
        <v>960</v>
      </c>
      <c r="G179" s="317" t="s">
        <v>56</v>
      </c>
      <c r="H179" s="19"/>
      <c r="I179" s="19" t="s">
        <v>172</v>
      </c>
      <c r="J179" s="19" t="s">
        <v>232</v>
      </c>
      <c r="K179" s="19" t="s">
        <v>233</v>
      </c>
      <c r="L179" s="94">
        <v>560</v>
      </c>
      <c r="M179" s="94"/>
      <c r="N179" s="22" t="s">
        <v>879</v>
      </c>
      <c r="O179" s="23">
        <v>42982</v>
      </c>
      <c r="P179" s="22" t="s">
        <v>879</v>
      </c>
      <c r="Q179" s="23">
        <v>42265</v>
      </c>
      <c r="R179" s="20" t="s">
        <v>879</v>
      </c>
      <c r="S179" s="21">
        <v>42986</v>
      </c>
      <c r="T179" s="22" t="s">
        <v>879</v>
      </c>
      <c r="U179" s="23">
        <v>42268</v>
      </c>
      <c r="V179" s="39"/>
      <c r="W179" s="39"/>
      <c r="X179" s="156" t="s">
        <v>988</v>
      </c>
      <c r="Y179" s="140" t="s">
        <v>891</v>
      </c>
      <c r="Z179" s="137">
        <v>42100</v>
      </c>
      <c r="AA179" s="16" t="s">
        <v>888</v>
      </c>
      <c r="AB179" s="318">
        <v>42067</v>
      </c>
      <c r="AC179" s="320">
        <v>42976</v>
      </c>
      <c r="AD179" s="158" t="s">
        <v>1060</v>
      </c>
      <c r="AE179" s="158"/>
      <c r="AF179" s="158" t="s">
        <v>1061</v>
      </c>
      <c r="AG179" s="158"/>
      <c r="AH179" s="158" t="s">
        <v>998</v>
      </c>
      <c r="AI179" s="158" t="s">
        <v>1061</v>
      </c>
      <c r="AJ179" s="158"/>
      <c r="AK179" s="279" t="s">
        <v>998</v>
      </c>
    </row>
    <row r="180" spans="1:37" x14ac:dyDescent="0.2">
      <c r="A180" s="26" t="s">
        <v>672</v>
      </c>
      <c r="B180" s="314"/>
      <c r="C180" s="15" t="s">
        <v>113</v>
      </c>
      <c r="D180" s="15"/>
      <c r="E180" s="15" t="s">
        <v>188</v>
      </c>
      <c r="F180" s="15" t="s">
        <v>967</v>
      </c>
      <c r="G180" s="314" t="s">
        <v>260</v>
      </c>
      <c r="H180" s="39" t="s">
        <v>261</v>
      </c>
      <c r="I180" s="39"/>
      <c r="J180" s="39"/>
      <c r="K180" s="39" t="s">
        <v>675</v>
      </c>
      <c r="L180" s="94">
        <v>397</v>
      </c>
      <c r="M180" s="94"/>
      <c r="N180" s="20" t="s">
        <v>673</v>
      </c>
      <c r="O180" s="21">
        <v>42639</v>
      </c>
      <c r="P180" s="22" t="s">
        <v>673</v>
      </c>
      <c r="Q180" s="23">
        <v>42034</v>
      </c>
      <c r="R180" s="22" t="s">
        <v>673</v>
      </c>
      <c r="S180" s="23">
        <v>42075</v>
      </c>
      <c r="T180" s="39"/>
      <c r="U180" s="40"/>
      <c r="V180" s="39"/>
      <c r="W180" s="39"/>
      <c r="X180" s="89" t="s">
        <v>989</v>
      </c>
      <c r="Y180" s="100" t="s">
        <v>863</v>
      </c>
      <c r="Z180" s="90">
        <v>42079</v>
      </c>
      <c r="AA180" s="16" t="s">
        <v>674</v>
      </c>
      <c r="AB180" s="319">
        <v>41892</v>
      </c>
      <c r="AC180" s="320">
        <v>42269</v>
      </c>
      <c r="AD180" s="158" t="s">
        <v>1061</v>
      </c>
      <c r="AE180" s="158"/>
      <c r="AF180" s="158"/>
      <c r="AG180" s="158" t="s">
        <v>998</v>
      </c>
      <c r="AH180" s="158"/>
      <c r="AI180" s="158" t="s">
        <v>1061</v>
      </c>
      <c r="AJ180" s="158"/>
      <c r="AK180" s="279"/>
    </row>
    <row r="181" spans="1:37" x14ac:dyDescent="0.2">
      <c r="A181" s="26" t="s">
        <v>880</v>
      </c>
      <c r="B181" s="314" t="s">
        <v>881</v>
      </c>
      <c r="C181" s="15" t="s">
        <v>113</v>
      </c>
      <c r="D181" s="15"/>
      <c r="E181" s="15" t="s">
        <v>193</v>
      </c>
      <c r="F181" s="8" t="s">
        <v>973</v>
      </c>
      <c r="G181" s="317" t="s">
        <v>69</v>
      </c>
      <c r="H181" s="19"/>
      <c r="I181" s="19" t="s">
        <v>333</v>
      </c>
      <c r="J181" s="19" t="s">
        <v>334</v>
      </c>
      <c r="K181" s="19" t="s">
        <v>335</v>
      </c>
      <c r="L181" s="94">
        <v>351</v>
      </c>
      <c r="M181" s="94"/>
      <c r="N181" s="22" t="s">
        <v>503</v>
      </c>
      <c r="O181" s="23">
        <v>42138</v>
      </c>
      <c r="P181" s="255" t="s">
        <v>387</v>
      </c>
      <c r="Q181" s="256">
        <v>42983</v>
      </c>
      <c r="R181" s="22" t="s">
        <v>503</v>
      </c>
      <c r="S181" s="23">
        <v>42146</v>
      </c>
      <c r="T181" s="19"/>
      <c r="U181" s="19"/>
      <c r="V181" s="19"/>
      <c r="W181" s="19"/>
      <c r="X181" s="89" t="s">
        <v>989</v>
      </c>
      <c r="Y181" s="100" t="s">
        <v>901</v>
      </c>
      <c r="Z181" s="90">
        <v>42153</v>
      </c>
      <c r="AA181" s="16" t="s">
        <v>898</v>
      </c>
      <c r="AB181" s="329">
        <v>42950</v>
      </c>
      <c r="AC181" s="320">
        <v>42691</v>
      </c>
      <c r="AD181" s="158"/>
      <c r="AE181" s="158" t="s">
        <v>1264</v>
      </c>
      <c r="AF181" s="244" t="s">
        <v>998</v>
      </c>
      <c r="AG181" s="158"/>
      <c r="AH181" s="158" t="s">
        <v>1061</v>
      </c>
      <c r="AI181" s="158"/>
      <c r="AJ181" s="158"/>
      <c r="AK181" s="279" t="s">
        <v>998</v>
      </c>
    </row>
    <row r="182" spans="1:37" x14ac:dyDescent="0.2">
      <c r="A182" s="26" t="s">
        <v>259</v>
      </c>
      <c r="B182" s="314"/>
      <c r="C182" s="17" t="s">
        <v>113</v>
      </c>
      <c r="D182" s="15"/>
      <c r="E182" s="15" t="s">
        <v>193</v>
      </c>
      <c r="F182" s="8" t="s">
        <v>973</v>
      </c>
      <c r="G182" s="317" t="s">
        <v>260</v>
      </c>
      <c r="H182" s="19" t="s">
        <v>261</v>
      </c>
      <c r="I182" s="19"/>
      <c r="J182" s="19"/>
      <c r="K182" s="19" t="s">
        <v>262</v>
      </c>
      <c r="L182" s="94">
        <v>388</v>
      </c>
      <c r="M182" s="94"/>
      <c r="N182" s="36" t="s">
        <v>720</v>
      </c>
      <c r="O182" s="23">
        <v>42291</v>
      </c>
      <c r="P182" s="36" t="s">
        <v>720</v>
      </c>
      <c r="Q182" s="23">
        <v>42461</v>
      </c>
      <c r="R182" s="22" t="s">
        <v>720</v>
      </c>
      <c r="S182" s="23">
        <v>42755</v>
      </c>
      <c r="T182" s="19"/>
      <c r="U182" s="19"/>
      <c r="V182" s="19"/>
      <c r="W182" s="19"/>
      <c r="X182" s="89" t="s">
        <v>989</v>
      </c>
      <c r="Y182" s="100" t="s">
        <v>1293</v>
      </c>
      <c r="Z182" s="90">
        <v>42758</v>
      </c>
      <c r="AA182" s="16" t="s">
        <v>721</v>
      </c>
      <c r="AB182" s="318">
        <v>41893</v>
      </c>
      <c r="AC182" s="318">
        <v>42269</v>
      </c>
      <c r="AD182" s="158" t="s">
        <v>1061</v>
      </c>
      <c r="AE182" s="158"/>
      <c r="AF182" s="158"/>
      <c r="AG182" s="158" t="s">
        <v>1060</v>
      </c>
      <c r="AH182" s="158"/>
      <c r="AI182" s="158"/>
      <c r="AJ182" s="158" t="s">
        <v>1061</v>
      </c>
      <c r="AK182" s="279"/>
    </row>
    <row r="183" spans="1:37" x14ac:dyDescent="0.2">
      <c r="A183" s="26" t="s">
        <v>336</v>
      </c>
      <c r="B183" s="314"/>
      <c r="C183" s="15" t="s">
        <v>113</v>
      </c>
      <c r="D183" s="15"/>
      <c r="E183" s="15" t="s">
        <v>193</v>
      </c>
      <c r="F183" s="8" t="s">
        <v>973</v>
      </c>
      <c r="G183" s="314" t="s">
        <v>283</v>
      </c>
      <c r="H183" s="39"/>
      <c r="I183" s="39" t="s">
        <v>284</v>
      </c>
      <c r="J183" s="39" t="s">
        <v>337</v>
      </c>
      <c r="K183" s="39" t="s">
        <v>627</v>
      </c>
      <c r="L183" s="94">
        <v>420</v>
      </c>
      <c r="M183" s="94"/>
      <c r="N183" s="36" t="s">
        <v>506</v>
      </c>
      <c r="O183" s="23">
        <v>42534</v>
      </c>
      <c r="P183" s="260" t="s">
        <v>441</v>
      </c>
      <c r="Q183" s="24">
        <v>43006</v>
      </c>
      <c r="R183" s="150" t="s">
        <v>506</v>
      </c>
      <c r="S183" s="151">
        <v>41586</v>
      </c>
      <c r="T183" s="39"/>
      <c r="U183" s="39"/>
      <c r="V183" s="39"/>
      <c r="W183" s="39"/>
      <c r="X183" s="89" t="s">
        <v>989</v>
      </c>
      <c r="Y183" s="100" t="s">
        <v>630</v>
      </c>
      <c r="Z183" s="90">
        <v>41710</v>
      </c>
      <c r="AA183" s="16" t="s">
        <v>1028</v>
      </c>
      <c r="AB183" s="318">
        <v>42523</v>
      </c>
      <c r="AC183" s="320">
        <v>42884</v>
      </c>
      <c r="AD183" s="158"/>
      <c r="AE183" s="158" t="s">
        <v>1262</v>
      </c>
      <c r="AF183" s="158" t="s">
        <v>1061</v>
      </c>
      <c r="AG183" s="158"/>
      <c r="AH183" s="158"/>
      <c r="AI183" s="158" t="s">
        <v>1061</v>
      </c>
      <c r="AJ183" s="158" t="s">
        <v>998</v>
      </c>
      <c r="AK183" s="279"/>
    </row>
    <row r="184" spans="1:37" x14ac:dyDescent="0.2">
      <c r="A184" s="307" t="s">
        <v>157</v>
      </c>
      <c r="B184" s="8"/>
      <c r="C184" s="8" t="s">
        <v>113</v>
      </c>
      <c r="D184" s="8"/>
      <c r="E184" s="8" t="s">
        <v>193</v>
      </c>
      <c r="F184" s="8" t="s">
        <v>973</v>
      </c>
      <c r="G184" s="7" t="s">
        <v>56</v>
      </c>
      <c r="H184" s="8"/>
      <c r="I184" s="7" t="s">
        <v>171</v>
      </c>
      <c r="J184" s="7" t="s">
        <v>171</v>
      </c>
      <c r="K184" s="10" t="s">
        <v>177</v>
      </c>
      <c r="L184" s="93">
        <v>98</v>
      </c>
      <c r="M184" s="93"/>
      <c r="N184" s="20" t="s">
        <v>1115</v>
      </c>
      <c r="O184" s="21">
        <v>42496</v>
      </c>
      <c r="P184" s="20" t="s">
        <v>566</v>
      </c>
      <c r="Q184" s="21">
        <v>41724</v>
      </c>
      <c r="R184" s="20" t="s">
        <v>566</v>
      </c>
      <c r="S184" s="21">
        <v>41787</v>
      </c>
      <c r="T184" s="7"/>
      <c r="U184" s="7"/>
      <c r="V184" s="7"/>
      <c r="W184" s="7"/>
      <c r="X184" s="89" t="s">
        <v>989</v>
      </c>
      <c r="Y184" s="100" t="s">
        <v>669</v>
      </c>
      <c r="Z184" s="90">
        <v>41803</v>
      </c>
      <c r="AA184" s="10" t="s">
        <v>1027</v>
      </c>
      <c r="AB184" s="319">
        <v>42487</v>
      </c>
      <c r="AC184" s="322">
        <v>41914</v>
      </c>
      <c r="AD184" s="158"/>
      <c r="AE184" s="158" t="s">
        <v>998</v>
      </c>
      <c r="AF184" s="158" t="s">
        <v>1061</v>
      </c>
      <c r="AG184" s="158"/>
      <c r="AH184" s="158"/>
      <c r="AI184" s="158" t="s">
        <v>1061</v>
      </c>
      <c r="AJ184" s="158" t="s">
        <v>998</v>
      </c>
      <c r="AK184" s="279"/>
    </row>
    <row r="185" spans="1:37" x14ac:dyDescent="0.2">
      <c r="A185" s="307" t="s">
        <v>338</v>
      </c>
      <c r="B185" s="8"/>
      <c r="C185" s="8" t="s">
        <v>113</v>
      </c>
      <c r="D185" s="8"/>
      <c r="E185" s="8" t="s">
        <v>695</v>
      </c>
      <c r="F185" s="8" t="s">
        <v>973</v>
      </c>
      <c r="G185" s="7" t="s">
        <v>283</v>
      </c>
      <c r="H185" s="8"/>
      <c r="I185" s="7" t="s">
        <v>340</v>
      </c>
      <c r="J185" s="7" t="s">
        <v>339</v>
      </c>
      <c r="K185" s="10" t="s">
        <v>341</v>
      </c>
      <c r="L185" s="93">
        <v>67</v>
      </c>
      <c r="M185" s="93"/>
      <c r="N185" s="20" t="s">
        <v>1183</v>
      </c>
      <c r="O185" s="21">
        <v>42535</v>
      </c>
      <c r="P185" s="20" t="s">
        <v>516</v>
      </c>
      <c r="Q185" s="21">
        <v>41725</v>
      </c>
      <c r="R185" s="20" t="s">
        <v>516</v>
      </c>
      <c r="S185" s="21">
        <v>41922</v>
      </c>
      <c r="T185" s="7"/>
      <c r="U185" s="7"/>
      <c r="V185" s="7"/>
      <c r="W185" s="7"/>
      <c r="X185" s="89" t="s">
        <v>989</v>
      </c>
      <c r="Y185" s="100" t="s">
        <v>831</v>
      </c>
      <c r="Z185" s="90">
        <v>41990</v>
      </c>
      <c r="AA185" s="10" t="s">
        <v>636</v>
      </c>
      <c r="AB185" s="318">
        <v>42523</v>
      </c>
      <c r="AC185" s="318">
        <v>42891</v>
      </c>
      <c r="AD185" s="158"/>
      <c r="AE185" s="158" t="s">
        <v>998</v>
      </c>
      <c r="AF185" s="158" t="s">
        <v>1061</v>
      </c>
      <c r="AG185" s="158"/>
      <c r="AH185" s="158"/>
      <c r="AI185" s="158" t="s">
        <v>1061</v>
      </c>
      <c r="AJ185" s="158" t="s">
        <v>998</v>
      </c>
      <c r="AK185" s="279"/>
    </row>
    <row r="186" spans="1:37" s="278" customFormat="1" x14ac:dyDescent="0.2">
      <c r="A186" s="309" t="s">
        <v>1092</v>
      </c>
      <c r="B186" s="266" t="s">
        <v>1316</v>
      </c>
      <c r="C186" s="266" t="s">
        <v>114</v>
      </c>
      <c r="D186" s="266"/>
      <c r="E186" s="266" t="s">
        <v>183</v>
      </c>
      <c r="F186" s="266" t="s">
        <v>972</v>
      </c>
      <c r="G186" s="31" t="s">
        <v>56</v>
      </c>
      <c r="H186" s="266" t="s">
        <v>57</v>
      </c>
      <c r="I186" s="31"/>
      <c r="J186" s="31"/>
      <c r="K186" s="31" t="s">
        <v>1093</v>
      </c>
      <c r="L186" s="31"/>
      <c r="M186" s="31"/>
      <c r="N186" s="31" t="s">
        <v>1091</v>
      </c>
      <c r="O186" s="32">
        <v>42451</v>
      </c>
      <c r="P186" s="31" t="s">
        <v>1091</v>
      </c>
      <c r="Q186" s="32">
        <v>42536</v>
      </c>
      <c r="R186" s="31"/>
      <c r="S186" s="32"/>
      <c r="T186" s="31" t="s">
        <v>1091</v>
      </c>
      <c r="U186" s="32">
        <v>42536</v>
      </c>
      <c r="V186" s="31" t="s">
        <v>1091</v>
      </c>
      <c r="W186" s="32">
        <v>42536</v>
      </c>
      <c r="X186" s="31" t="s">
        <v>990</v>
      </c>
      <c r="Y186" s="263"/>
      <c r="Z186" s="32"/>
      <c r="AA186" s="31" t="s">
        <v>1094</v>
      </c>
      <c r="AB186" s="328">
        <v>42718</v>
      </c>
      <c r="AC186" s="330"/>
      <c r="AD186" s="267"/>
      <c r="AE186" s="267" t="s">
        <v>998</v>
      </c>
      <c r="AF186" s="267" t="s">
        <v>1061</v>
      </c>
      <c r="AG186" s="267" t="s">
        <v>998</v>
      </c>
      <c r="AH186" s="267" t="s">
        <v>1061</v>
      </c>
      <c r="AI186" s="267" t="s">
        <v>998</v>
      </c>
      <c r="AJ186" s="267" t="s">
        <v>1061</v>
      </c>
      <c r="AK186" s="92" t="s">
        <v>998</v>
      </c>
    </row>
    <row r="187" spans="1:37" x14ac:dyDescent="0.2">
      <c r="A187" s="307" t="s">
        <v>875</v>
      </c>
      <c r="B187" s="11"/>
      <c r="C187" s="8" t="s">
        <v>113</v>
      </c>
      <c r="D187" s="8"/>
      <c r="E187" s="8" t="s">
        <v>325</v>
      </c>
      <c r="F187" s="8" t="s">
        <v>959</v>
      </c>
      <c r="G187" s="7" t="s">
        <v>69</v>
      </c>
      <c r="H187" s="8" t="s">
        <v>70</v>
      </c>
      <c r="I187" s="7"/>
      <c r="J187" s="7"/>
      <c r="K187" s="10" t="s">
        <v>895</v>
      </c>
      <c r="L187" s="93">
        <v>386</v>
      </c>
      <c r="M187" s="93"/>
      <c r="N187" s="20" t="s">
        <v>688</v>
      </c>
      <c r="O187" s="21">
        <v>42460</v>
      </c>
      <c r="P187" s="20" t="s">
        <v>688</v>
      </c>
      <c r="Q187" s="21">
        <v>42465</v>
      </c>
      <c r="R187" s="22" t="s">
        <v>688</v>
      </c>
      <c r="S187" s="23">
        <v>42842</v>
      </c>
      <c r="T187" s="10"/>
      <c r="U187" s="10"/>
      <c r="V187" s="10"/>
      <c r="W187" s="10"/>
      <c r="X187" s="246" t="s">
        <v>989</v>
      </c>
      <c r="Y187" s="247" t="s">
        <v>1350</v>
      </c>
      <c r="Z187" s="248">
        <v>42846</v>
      </c>
      <c r="AA187" s="10" t="s">
        <v>839</v>
      </c>
      <c r="AB187" s="318"/>
      <c r="AC187" s="318">
        <v>42698</v>
      </c>
      <c r="AD187" s="158"/>
      <c r="AE187" s="158" t="s">
        <v>1061</v>
      </c>
      <c r="AF187" s="158"/>
      <c r="AG187" s="158"/>
      <c r="AH187" s="158"/>
      <c r="AI187" s="158"/>
      <c r="AJ187" s="158" t="s">
        <v>1061</v>
      </c>
      <c r="AK187" s="279"/>
    </row>
    <row r="188" spans="1:37" x14ac:dyDescent="0.2">
      <c r="A188" s="307" t="s">
        <v>257</v>
      </c>
      <c r="B188" s="8"/>
      <c r="C188" s="8" t="s">
        <v>114</v>
      </c>
      <c r="D188" s="8"/>
      <c r="E188" s="8" t="s">
        <v>183</v>
      </c>
      <c r="F188" s="10" t="s">
        <v>972</v>
      </c>
      <c r="G188" s="7" t="s">
        <v>61</v>
      </c>
      <c r="H188" s="8" t="s">
        <v>78</v>
      </c>
      <c r="I188" s="7"/>
      <c r="J188" s="7"/>
      <c r="K188" s="10" t="s">
        <v>258</v>
      </c>
      <c r="L188" s="93">
        <v>4665</v>
      </c>
      <c r="M188" s="93"/>
      <c r="N188" s="20" t="s">
        <v>496</v>
      </c>
      <c r="O188" s="21">
        <v>42851</v>
      </c>
      <c r="P188" s="20" t="s">
        <v>496</v>
      </c>
      <c r="Q188" s="21">
        <v>41414</v>
      </c>
      <c r="R188" s="150" t="s">
        <v>496</v>
      </c>
      <c r="S188" s="151">
        <v>41430</v>
      </c>
      <c r="T188" s="20" t="s">
        <v>496</v>
      </c>
      <c r="U188" s="21">
        <v>41414</v>
      </c>
      <c r="V188" s="20" t="s">
        <v>496</v>
      </c>
      <c r="W188" s="21">
        <v>41414</v>
      </c>
      <c r="X188" s="89" t="s">
        <v>989</v>
      </c>
      <c r="Y188" s="89" t="s">
        <v>445</v>
      </c>
      <c r="Z188" s="90">
        <v>41235</v>
      </c>
      <c r="AA188" s="38" t="s">
        <v>1026</v>
      </c>
      <c r="AB188" s="318">
        <v>42269</v>
      </c>
      <c r="AC188" s="318">
        <v>42990</v>
      </c>
      <c r="AD188" s="158" t="s">
        <v>1060</v>
      </c>
      <c r="AE188" s="174" t="s">
        <v>1061</v>
      </c>
      <c r="AF188" s="158" t="s">
        <v>1061</v>
      </c>
      <c r="AG188" s="158" t="s">
        <v>998</v>
      </c>
      <c r="AH188" s="158" t="s">
        <v>1061</v>
      </c>
      <c r="AI188" s="158" t="s">
        <v>998</v>
      </c>
      <c r="AJ188" s="158" t="s">
        <v>1061</v>
      </c>
      <c r="AK188" s="279" t="s">
        <v>998</v>
      </c>
    </row>
    <row r="189" spans="1:37" x14ac:dyDescent="0.2">
      <c r="A189" s="307" t="s">
        <v>1066</v>
      </c>
      <c r="B189" s="8"/>
      <c r="C189" s="8" t="s">
        <v>112</v>
      </c>
      <c r="D189" s="8"/>
      <c r="E189" s="8" t="s">
        <v>183</v>
      </c>
      <c r="F189" s="10" t="s">
        <v>972</v>
      </c>
      <c r="G189" s="7" t="s">
        <v>56</v>
      </c>
      <c r="H189" s="8"/>
      <c r="I189" s="7" t="s">
        <v>170</v>
      </c>
      <c r="J189" s="7" t="s">
        <v>64</v>
      </c>
      <c r="K189" s="10" t="s">
        <v>1067</v>
      </c>
      <c r="L189" s="93">
        <v>772</v>
      </c>
      <c r="M189" s="93"/>
      <c r="N189" s="20" t="s">
        <v>1068</v>
      </c>
      <c r="O189" s="21">
        <v>42464</v>
      </c>
      <c r="P189" s="20" t="s">
        <v>1068</v>
      </c>
      <c r="Q189" s="21">
        <v>42538</v>
      </c>
      <c r="R189" s="20" t="s">
        <v>1068</v>
      </c>
      <c r="S189" s="21">
        <v>42620</v>
      </c>
      <c r="T189" s="20" t="s">
        <v>1068</v>
      </c>
      <c r="U189" s="21">
        <v>42538</v>
      </c>
      <c r="V189" s="10"/>
      <c r="W189" s="10"/>
      <c r="X189" s="89" t="s">
        <v>989</v>
      </c>
      <c r="Y189" s="100" t="s">
        <v>1215</v>
      </c>
      <c r="Z189" s="90">
        <v>42629</v>
      </c>
      <c r="AA189" s="10" t="s">
        <v>1069</v>
      </c>
      <c r="AB189" s="318">
        <v>42536</v>
      </c>
      <c r="AC189" s="318">
        <v>42873</v>
      </c>
      <c r="AD189" s="158"/>
      <c r="AE189" s="158" t="s">
        <v>998</v>
      </c>
      <c r="AF189" s="158" t="s">
        <v>1061</v>
      </c>
      <c r="AG189" s="158"/>
      <c r="AH189" s="158" t="s">
        <v>998</v>
      </c>
      <c r="AI189" s="158" t="s">
        <v>1061</v>
      </c>
      <c r="AJ189" s="158"/>
      <c r="AK189" s="279" t="s">
        <v>998</v>
      </c>
    </row>
    <row r="190" spans="1:37" x14ac:dyDescent="0.2">
      <c r="A190" s="37" t="s">
        <v>810</v>
      </c>
      <c r="B190" s="10"/>
      <c r="C190" s="10" t="s">
        <v>112</v>
      </c>
      <c r="D190" s="10"/>
      <c r="E190" s="10" t="s">
        <v>182</v>
      </c>
      <c r="F190" s="10" t="s">
        <v>959</v>
      </c>
      <c r="G190" s="7" t="s">
        <v>75</v>
      </c>
      <c r="H190" s="7"/>
      <c r="I190" s="312" t="s">
        <v>229</v>
      </c>
      <c r="J190" s="7" t="s">
        <v>272</v>
      </c>
      <c r="K190" s="7" t="s">
        <v>811</v>
      </c>
      <c r="L190" s="93">
        <v>132</v>
      </c>
      <c r="M190" s="93"/>
      <c r="N190" s="20" t="s">
        <v>1095</v>
      </c>
      <c r="O190" s="21">
        <v>42441</v>
      </c>
      <c r="P190" s="20" t="s">
        <v>812</v>
      </c>
      <c r="Q190" s="21">
        <v>42135</v>
      </c>
      <c r="R190" s="20" t="s">
        <v>812</v>
      </c>
      <c r="S190" s="21">
        <v>42298</v>
      </c>
      <c r="T190" s="20" t="s">
        <v>812</v>
      </c>
      <c r="U190" s="21">
        <v>42276</v>
      </c>
      <c r="V190" s="10"/>
      <c r="W190" s="10"/>
      <c r="X190" s="89" t="s">
        <v>989</v>
      </c>
      <c r="Y190" s="100" t="s">
        <v>1018</v>
      </c>
      <c r="Z190" s="90">
        <v>42307</v>
      </c>
      <c r="AA190" s="38" t="s">
        <v>1008</v>
      </c>
      <c r="AB190" s="318">
        <v>42893</v>
      </c>
      <c r="AC190" s="318">
        <v>42943</v>
      </c>
      <c r="AD190" s="158" t="s">
        <v>1061</v>
      </c>
      <c r="AE190" s="158"/>
      <c r="AF190" s="244" t="s">
        <v>1060</v>
      </c>
      <c r="AG190" s="158"/>
      <c r="AH190" s="158" t="s">
        <v>1061</v>
      </c>
      <c r="AI190" s="158" t="s">
        <v>998</v>
      </c>
      <c r="AJ190" s="158"/>
      <c r="AK190" s="279" t="s">
        <v>1061</v>
      </c>
    </row>
    <row r="191" spans="1:37" x14ac:dyDescent="0.2">
      <c r="A191" s="311" t="s">
        <v>159</v>
      </c>
      <c r="B191" s="13"/>
      <c r="C191" s="13" t="s">
        <v>113</v>
      </c>
      <c r="D191" s="13"/>
      <c r="E191" s="13" t="s">
        <v>403</v>
      </c>
      <c r="F191" s="13" t="s">
        <v>968</v>
      </c>
      <c r="G191" s="7" t="s">
        <v>56</v>
      </c>
      <c r="H191" s="13" t="s">
        <v>88</v>
      </c>
      <c r="I191" s="7"/>
      <c r="J191" s="7"/>
      <c r="K191" s="13" t="s">
        <v>160</v>
      </c>
      <c r="L191" s="96">
        <v>360</v>
      </c>
      <c r="M191" s="96"/>
      <c r="N191" s="20" t="s">
        <v>1220</v>
      </c>
      <c r="O191" s="21">
        <v>42640</v>
      </c>
      <c r="P191" s="20" t="s">
        <v>486</v>
      </c>
      <c r="Q191" s="21">
        <v>41397</v>
      </c>
      <c r="R191" s="20" t="s">
        <v>486</v>
      </c>
      <c r="S191" s="21">
        <v>42480</v>
      </c>
      <c r="T191" s="7"/>
      <c r="U191" s="7"/>
      <c r="V191" s="7"/>
      <c r="W191" s="7"/>
      <c r="X191" s="89" t="s">
        <v>989</v>
      </c>
      <c r="Y191" s="100" t="s">
        <v>633</v>
      </c>
      <c r="Z191" s="90">
        <v>41722</v>
      </c>
      <c r="AA191" s="10" t="s">
        <v>632</v>
      </c>
      <c r="AB191" s="318">
        <v>41311</v>
      </c>
      <c r="AC191" s="320">
        <v>42241</v>
      </c>
      <c r="AD191" s="158" t="s">
        <v>1061</v>
      </c>
      <c r="AE191" s="158"/>
      <c r="AF191" s="158"/>
      <c r="AG191" s="158" t="s">
        <v>998</v>
      </c>
      <c r="AH191" s="158" t="s">
        <v>1061</v>
      </c>
      <c r="AI191" s="158"/>
      <c r="AJ191" s="158"/>
      <c r="AK191" s="279" t="s">
        <v>1061</v>
      </c>
    </row>
    <row r="192" spans="1:37" x14ac:dyDescent="0.2">
      <c r="A192" s="37" t="s">
        <v>421</v>
      </c>
      <c r="B192" s="10"/>
      <c r="C192" s="7" t="s">
        <v>112</v>
      </c>
      <c r="D192" s="10"/>
      <c r="E192" s="10" t="s">
        <v>187</v>
      </c>
      <c r="F192" s="10" t="s">
        <v>968</v>
      </c>
      <c r="G192" s="7" t="s">
        <v>56</v>
      </c>
      <c r="H192" s="7" t="s">
        <v>88</v>
      </c>
      <c r="I192" s="312"/>
      <c r="J192" s="7"/>
      <c r="K192" s="7" t="s">
        <v>89</v>
      </c>
      <c r="L192" s="93">
        <v>3400</v>
      </c>
      <c r="M192" s="93"/>
      <c r="N192" s="20" t="s">
        <v>1220</v>
      </c>
      <c r="O192" s="21">
        <v>42649</v>
      </c>
      <c r="P192" s="20" t="s">
        <v>486</v>
      </c>
      <c r="Q192" s="21">
        <v>41458</v>
      </c>
      <c r="R192" s="20" t="s">
        <v>1220</v>
      </c>
      <c r="S192" s="21">
        <v>42846</v>
      </c>
      <c r="T192" s="20" t="s">
        <v>1220</v>
      </c>
      <c r="U192" s="21">
        <v>42872</v>
      </c>
      <c r="V192" s="7"/>
      <c r="W192" s="7"/>
      <c r="X192" s="89" t="s">
        <v>989</v>
      </c>
      <c r="Y192" s="89" t="s">
        <v>18</v>
      </c>
      <c r="Z192" s="90">
        <v>40875</v>
      </c>
      <c r="AA192" s="38" t="s">
        <v>632</v>
      </c>
      <c r="AB192" s="318">
        <v>42871</v>
      </c>
      <c r="AC192" s="320">
        <v>42234</v>
      </c>
      <c r="AD192" s="158" t="s">
        <v>1061</v>
      </c>
      <c r="AE192" s="158"/>
      <c r="AF192" s="244" t="s">
        <v>998</v>
      </c>
      <c r="AG192" s="158"/>
      <c r="AH192" s="158" t="s">
        <v>1061</v>
      </c>
      <c r="AI192" s="158" t="s">
        <v>998</v>
      </c>
      <c r="AJ192" s="158"/>
      <c r="AK192" s="279" t="s">
        <v>1061</v>
      </c>
    </row>
    <row r="193" spans="1:37" x14ac:dyDescent="0.2">
      <c r="A193" s="37" t="s">
        <v>5</v>
      </c>
      <c r="B193" s="10"/>
      <c r="C193" s="7" t="s">
        <v>114</v>
      </c>
      <c r="D193" s="10"/>
      <c r="E193" s="10" t="s">
        <v>182</v>
      </c>
      <c r="F193" s="10" t="s">
        <v>959</v>
      </c>
      <c r="G193" s="7" t="s">
        <v>69</v>
      </c>
      <c r="H193" s="7"/>
      <c r="I193" s="312" t="s">
        <v>70</v>
      </c>
      <c r="J193" s="7" t="s">
        <v>71</v>
      </c>
      <c r="K193" s="7" t="s">
        <v>393</v>
      </c>
      <c r="L193" s="93">
        <v>391</v>
      </c>
      <c r="M193" s="93"/>
      <c r="N193" s="20" t="s">
        <v>514</v>
      </c>
      <c r="O193" s="21">
        <v>42639</v>
      </c>
      <c r="P193" s="20" t="s">
        <v>514</v>
      </c>
      <c r="Q193" s="21">
        <v>41836</v>
      </c>
      <c r="R193" s="150" t="s">
        <v>514</v>
      </c>
      <c r="S193" s="151">
        <v>41439</v>
      </c>
      <c r="T193" s="20" t="s">
        <v>514</v>
      </c>
      <c r="U193" s="21">
        <v>41836</v>
      </c>
      <c r="V193" s="20" t="s">
        <v>514</v>
      </c>
      <c r="W193" s="21">
        <v>41836</v>
      </c>
      <c r="X193" s="89" t="s">
        <v>989</v>
      </c>
      <c r="Y193" s="89" t="s">
        <v>4</v>
      </c>
      <c r="Z193" s="90">
        <v>40882</v>
      </c>
      <c r="AA193" s="38" t="s">
        <v>1212</v>
      </c>
      <c r="AB193" s="318">
        <v>42600</v>
      </c>
      <c r="AC193" s="320">
        <v>42900</v>
      </c>
      <c r="AD193" s="158" t="s">
        <v>1061</v>
      </c>
      <c r="AE193" s="158" t="s">
        <v>998</v>
      </c>
      <c r="AF193" s="158" t="s">
        <v>1061</v>
      </c>
      <c r="AG193" s="158" t="s">
        <v>1061</v>
      </c>
      <c r="AH193" s="158" t="s">
        <v>998</v>
      </c>
      <c r="AI193" s="158" t="s">
        <v>1061</v>
      </c>
      <c r="AJ193" s="158" t="s">
        <v>998</v>
      </c>
      <c r="AK193" s="279" t="s">
        <v>1061</v>
      </c>
    </row>
    <row r="194" spans="1:37" x14ac:dyDescent="0.2">
      <c r="A194" s="37" t="s">
        <v>1286</v>
      </c>
      <c r="B194" s="10"/>
      <c r="C194" s="7" t="s">
        <v>113</v>
      </c>
      <c r="D194" s="10"/>
      <c r="E194" s="10" t="s">
        <v>403</v>
      </c>
      <c r="F194" s="10" t="s">
        <v>968</v>
      </c>
      <c r="G194" s="7" t="s">
        <v>69</v>
      </c>
      <c r="H194" s="7" t="s">
        <v>70</v>
      </c>
      <c r="I194" s="312"/>
      <c r="J194" s="7"/>
      <c r="K194" s="7" t="s">
        <v>1287</v>
      </c>
      <c r="L194" s="93">
        <v>172</v>
      </c>
      <c r="M194" s="93"/>
      <c r="N194" s="20" t="s">
        <v>1288</v>
      </c>
      <c r="O194" s="21">
        <v>42738</v>
      </c>
      <c r="P194" s="20" t="s">
        <v>1288</v>
      </c>
      <c r="Q194" s="23">
        <v>42989</v>
      </c>
      <c r="R194" s="143"/>
      <c r="S194" s="145"/>
      <c r="T194" s="10"/>
      <c r="U194" s="38"/>
      <c r="V194" s="10"/>
      <c r="W194" s="38"/>
      <c r="X194" s="252" t="s">
        <v>987</v>
      </c>
      <c r="Y194" s="252" t="s">
        <v>1355</v>
      </c>
      <c r="Z194" s="253">
        <v>41640</v>
      </c>
      <c r="AA194" s="38" t="s">
        <v>1289</v>
      </c>
      <c r="AB194" s="318">
        <v>42950</v>
      </c>
      <c r="AC194" s="322"/>
      <c r="AD194" s="158"/>
      <c r="AE194" s="158"/>
      <c r="AF194" s="244" t="s">
        <v>1060</v>
      </c>
      <c r="AG194" s="158"/>
      <c r="AH194" s="158"/>
      <c r="AI194" s="158" t="s">
        <v>1061</v>
      </c>
      <c r="AJ194" s="158"/>
      <c r="AK194" s="279" t="s">
        <v>998</v>
      </c>
    </row>
    <row r="195" spans="1:37" x14ac:dyDescent="0.2">
      <c r="A195" s="37" t="s">
        <v>430</v>
      </c>
      <c r="B195" s="10"/>
      <c r="C195" s="13" t="s">
        <v>113</v>
      </c>
      <c r="D195" s="13"/>
      <c r="E195" s="13" t="s">
        <v>193</v>
      </c>
      <c r="F195" s="8" t="s">
        <v>973</v>
      </c>
      <c r="G195" s="7" t="s">
        <v>327</v>
      </c>
      <c r="H195" s="13" t="s">
        <v>328</v>
      </c>
      <c r="I195" s="7"/>
      <c r="J195" s="7"/>
      <c r="K195" s="13" t="s">
        <v>329</v>
      </c>
      <c r="L195" s="96">
        <v>1100</v>
      </c>
      <c r="M195" s="96"/>
      <c r="N195" s="20" t="s">
        <v>1237</v>
      </c>
      <c r="O195" s="21">
        <v>42878</v>
      </c>
      <c r="P195" s="20" t="s">
        <v>425</v>
      </c>
      <c r="Q195" s="21">
        <v>41578</v>
      </c>
      <c r="R195" s="20" t="s">
        <v>425</v>
      </c>
      <c r="S195" s="21">
        <v>41733</v>
      </c>
      <c r="T195" s="7"/>
      <c r="U195" s="7"/>
      <c r="V195" s="7"/>
      <c r="W195" s="7"/>
      <c r="X195" s="130" t="s">
        <v>987</v>
      </c>
      <c r="Y195" s="130" t="s">
        <v>383</v>
      </c>
      <c r="Z195" s="131">
        <v>38533</v>
      </c>
      <c r="AA195" s="10" t="s">
        <v>822</v>
      </c>
      <c r="AB195" s="318">
        <v>41528</v>
      </c>
      <c r="AC195" s="320">
        <v>42677</v>
      </c>
      <c r="AD195" s="158"/>
      <c r="AE195" s="158" t="s">
        <v>1061</v>
      </c>
      <c r="AF195" s="158"/>
      <c r="AG195" s="158" t="s">
        <v>998</v>
      </c>
      <c r="AH195" s="158" t="s">
        <v>1061</v>
      </c>
      <c r="AI195" s="158"/>
      <c r="AJ195" s="158"/>
      <c r="AK195" s="279" t="s">
        <v>1061</v>
      </c>
    </row>
    <row r="196" spans="1:37" x14ac:dyDescent="0.2">
      <c r="A196" s="37" t="s">
        <v>428</v>
      </c>
      <c r="B196" s="10"/>
      <c r="C196" s="13" t="s">
        <v>113</v>
      </c>
      <c r="D196" s="13"/>
      <c r="E196" s="13" t="s">
        <v>193</v>
      </c>
      <c r="F196" s="8" t="s">
        <v>973</v>
      </c>
      <c r="G196" s="7" t="s">
        <v>66</v>
      </c>
      <c r="H196" s="13" t="s">
        <v>67</v>
      </c>
      <c r="I196" s="7"/>
      <c r="J196" s="7"/>
      <c r="K196" s="13" t="s">
        <v>397</v>
      </c>
      <c r="L196" s="96">
        <v>1100</v>
      </c>
      <c r="M196" s="96"/>
      <c r="N196" s="20" t="s">
        <v>1237</v>
      </c>
      <c r="O196" s="21">
        <v>42662</v>
      </c>
      <c r="P196" s="20" t="s">
        <v>425</v>
      </c>
      <c r="Q196" s="21">
        <v>41306</v>
      </c>
      <c r="R196" s="20" t="s">
        <v>1237</v>
      </c>
      <c r="S196" s="21">
        <v>42916</v>
      </c>
      <c r="T196" s="7"/>
      <c r="U196" s="7"/>
      <c r="V196" s="7"/>
      <c r="W196" s="7"/>
      <c r="X196" s="89" t="s">
        <v>989</v>
      </c>
      <c r="Y196" s="100" t="s">
        <v>826</v>
      </c>
      <c r="Z196" s="90">
        <v>41984</v>
      </c>
      <c r="AA196" s="10" t="s">
        <v>822</v>
      </c>
      <c r="AB196" s="318">
        <v>41354</v>
      </c>
      <c r="AC196" s="320">
        <v>42662</v>
      </c>
      <c r="AD196" s="158"/>
      <c r="AE196" s="158" t="s">
        <v>1061</v>
      </c>
      <c r="AF196" s="158"/>
      <c r="AG196" s="158" t="s">
        <v>998</v>
      </c>
      <c r="AH196" s="158" t="s">
        <v>1061</v>
      </c>
      <c r="AI196" s="158"/>
      <c r="AJ196" s="158"/>
      <c r="AK196" s="279" t="s">
        <v>1061</v>
      </c>
    </row>
    <row r="197" spans="1:37" x14ac:dyDescent="0.2">
      <c r="A197" s="307" t="s">
        <v>161</v>
      </c>
      <c r="B197" s="8"/>
      <c r="C197" s="8" t="s">
        <v>113</v>
      </c>
      <c r="D197" s="8" t="s">
        <v>977</v>
      </c>
      <c r="E197" s="8" t="s">
        <v>282</v>
      </c>
      <c r="F197" s="8" t="s">
        <v>963</v>
      </c>
      <c r="G197" s="7" t="s">
        <v>56</v>
      </c>
      <c r="H197" s="8" t="s">
        <v>126</v>
      </c>
      <c r="I197" s="7"/>
      <c r="J197" s="7"/>
      <c r="K197" s="10" t="s">
        <v>162</v>
      </c>
      <c r="L197" s="93">
        <v>125</v>
      </c>
      <c r="M197" s="93"/>
      <c r="N197" s="20" t="s">
        <v>1234</v>
      </c>
      <c r="O197" s="21">
        <v>42664</v>
      </c>
      <c r="P197" s="31" t="s">
        <v>1234</v>
      </c>
      <c r="Q197" s="32">
        <v>43013</v>
      </c>
      <c r="R197" s="150" t="s">
        <v>437</v>
      </c>
      <c r="S197" s="151">
        <v>41544</v>
      </c>
      <c r="T197" s="7"/>
      <c r="U197" s="7"/>
      <c r="V197" s="7"/>
      <c r="W197" s="7"/>
      <c r="X197" s="89" t="s">
        <v>989</v>
      </c>
      <c r="Y197" s="100" t="s">
        <v>828</v>
      </c>
      <c r="Z197" s="90">
        <v>41991</v>
      </c>
      <c r="AA197" s="10" t="s">
        <v>827</v>
      </c>
      <c r="AB197" s="318">
        <v>42095</v>
      </c>
      <c r="AC197" s="320">
        <v>42318</v>
      </c>
      <c r="AD197" s="158" t="s">
        <v>1060</v>
      </c>
      <c r="AE197" s="158"/>
      <c r="AF197" s="158"/>
      <c r="AG197" s="158" t="s">
        <v>1061</v>
      </c>
      <c r="AH197" s="158"/>
      <c r="AI197" s="158" t="s">
        <v>998</v>
      </c>
      <c r="AJ197" s="158" t="s">
        <v>1061</v>
      </c>
      <c r="AK197" s="279"/>
    </row>
    <row r="198" spans="1:37" x14ac:dyDescent="0.2">
      <c r="A198" s="306" t="s">
        <v>607</v>
      </c>
      <c r="B198" s="313"/>
      <c r="C198" s="8" t="s">
        <v>113</v>
      </c>
      <c r="D198" s="8"/>
      <c r="E198" s="8" t="s">
        <v>227</v>
      </c>
      <c r="F198" s="8" t="s">
        <v>960</v>
      </c>
      <c r="G198" s="10" t="s">
        <v>69</v>
      </c>
      <c r="H198" s="8"/>
      <c r="I198" s="10" t="s">
        <v>928</v>
      </c>
      <c r="J198" s="10" t="s">
        <v>608</v>
      </c>
      <c r="K198" s="10" t="s">
        <v>609</v>
      </c>
      <c r="L198" s="93">
        <v>49</v>
      </c>
      <c r="M198" s="93"/>
      <c r="N198" s="20" t="s">
        <v>942</v>
      </c>
      <c r="O198" s="21">
        <v>42264</v>
      </c>
      <c r="P198" s="20" t="s">
        <v>942</v>
      </c>
      <c r="Q198" s="21">
        <v>42475</v>
      </c>
      <c r="R198" s="20" t="s">
        <v>942</v>
      </c>
      <c r="S198" s="21">
        <v>42879</v>
      </c>
      <c r="T198" s="10"/>
      <c r="U198" s="10"/>
      <c r="V198" s="10"/>
      <c r="W198" s="10"/>
      <c r="X198" s="156" t="s">
        <v>988</v>
      </c>
      <c r="Y198" s="140" t="s">
        <v>931</v>
      </c>
      <c r="Z198" s="137">
        <v>40106</v>
      </c>
      <c r="AA198" s="10" t="s">
        <v>943</v>
      </c>
      <c r="AB198" s="319">
        <v>42230</v>
      </c>
      <c r="AC198" s="320">
        <v>42641</v>
      </c>
      <c r="AD198" s="158" t="s">
        <v>998</v>
      </c>
      <c r="AE198" s="158" t="s">
        <v>1061</v>
      </c>
      <c r="AF198" s="158"/>
      <c r="AG198" s="158"/>
      <c r="AH198" s="158" t="s">
        <v>1061</v>
      </c>
      <c r="AI198" s="158" t="s">
        <v>998</v>
      </c>
      <c r="AJ198" s="158"/>
      <c r="AK198" s="279" t="s">
        <v>1061</v>
      </c>
    </row>
    <row r="199" spans="1:37" x14ac:dyDescent="0.2">
      <c r="A199" s="307" t="s">
        <v>494</v>
      </c>
      <c r="B199" s="8"/>
      <c r="C199" s="8" t="s">
        <v>113</v>
      </c>
      <c r="D199" s="8"/>
      <c r="E199" s="8" t="s">
        <v>227</v>
      </c>
      <c r="F199" s="8" t="s">
        <v>960</v>
      </c>
      <c r="G199" s="7" t="s">
        <v>69</v>
      </c>
      <c r="H199" s="8" t="s">
        <v>70</v>
      </c>
      <c r="I199" s="7"/>
      <c r="J199" s="7"/>
      <c r="K199" s="10" t="s">
        <v>443</v>
      </c>
      <c r="L199" s="93">
        <v>60</v>
      </c>
      <c r="M199" s="93"/>
      <c r="N199" s="30" t="s">
        <v>1265</v>
      </c>
      <c r="O199" s="21">
        <v>42712</v>
      </c>
      <c r="P199" s="20" t="s">
        <v>488</v>
      </c>
      <c r="Q199" s="21">
        <v>41402</v>
      </c>
      <c r="R199" s="20" t="s">
        <v>488</v>
      </c>
      <c r="S199" s="21">
        <v>41669</v>
      </c>
      <c r="T199" s="7"/>
      <c r="U199" s="7"/>
      <c r="V199" s="7"/>
      <c r="W199" s="7"/>
      <c r="X199" s="156" t="s">
        <v>988</v>
      </c>
      <c r="Y199" s="140" t="s">
        <v>932</v>
      </c>
      <c r="Z199" s="137">
        <v>38698</v>
      </c>
      <c r="AA199" s="10" t="s">
        <v>1024</v>
      </c>
      <c r="AB199" s="318">
        <v>42230</v>
      </c>
      <c r="AC199" s="320">
        <v>42634</v>
      </c>
      <c r="AD199" s="158" t="s">
        <v>998</v>
      </c>
      <c r="AE199" s="158" t="s">
        <v>1061</v>
      </c>
      <c r="AF199" s="158"/>
      <c r="AG199" s="158"/>
      <c r="AH199" s="158" t="s">
        <v>1061</v>
      </c>
      <c r="AI199" s="158" t="s">
        <v>998</v>
      </c>
      <c r="AJ199" s="158"/>
      <c r="AK199" s="279" t="s">
        <v>1061</v>
      </c>
    </row>
    <row r="200" spans="1:37" s="35" customFormat="1" x14ac:dyDescent="0.2">
      <c r="A200" s="307" t="s">
        <v>1242</v>
      </c>
      <c r="B200" s="8"/>
      <c r="C200" s="11" t="s">
        <v>113</v>
      </c>
      <c r="D200" s="8"/>
      <c r="E200" s="8" t="s">
        <v>250</v>
      </c>
      <c r="F200" s="8" t="s">
        <v>959</v>
      </c>
      <c r="G200" s="7" t="s">
        <v>56</v>
      </c>
      <c r="H200" s="11" t="s">
        <v>130</v>
      </c>
      <c r="I200" s="7"/>
      <c r="J200" s="7"/>
      <c r="K200" s="11" t="s">
        <v>131</v>
      </c>
      <c r="L200" s="95">
        <v>66</v>
      </c>
      <c r="M200" s="95"/>
      <c r="N200" s="21" t="s">
        <v>1247</v>
      </c>
      <c r="O200" s="21">
        <v>42669</v>
      </c>
      <c r="P200" s="21" t="s">
        <v>468</v>
      </c>
      <c r="Q200" s="21">
        <v>42510</v>
      </c>
      <c r="R200" s="32" t="s">
        <v>1247</v>
      </c>
      <c r="S200" s="32">
        <v>42668</v>
      </c>
      <c r="T200" s="38"/>
      <c r="U200" s="38"/>
      <c r="V200" s="38"/>
      <c r="W200" s="38"/>
      <c r="X200" s="89" t="s">
        <v>989</v>
      </c>
      <c r="Y200" s="89" t="s">
        <v>1243</v>
      </c>
      <c r="Z200" s="90">
        <v>42664</v>
      </c>
      <c r="AA200" s="10" t="s">
        <v>1232</v>
      </c>
      <c r="AB200" s="325"/>
      <c r="AC200" s="327"/>
      <c r="AD200" s="158" t="s">
        <v>1061</v>
      </c>
      <c r="AE200" s="158"/>
      <c r="AF200" s="158"/>
      <c r="AG200" s="158"/>
      <c r="AH200" s="158"/>
      <c r="AI200" s="158" t="s">
        <v>1061</v>
      </c>
      <c r="AJ200" s="158"/>
      <c r="AK200" s="279"/>
    </row>
    <row r="201" spans="1:37" s="35" customFormat="1" x14ac:dyDescent="0.2">
      <c r="A201" s="37" t="s">
        <v>1218</v>
      </c>
      <c r="B201" s="10"/>
      <c r="C201" s="10" t="s">
        <v>113</v>
      </c>
      <c r="D201" s="10"/>
      <c r="E201" s="10" t="s">
        <v>250</v>
      </c>
      <c r="F201" s="10" t="s">
        <v>959</v>
      </c>
      <c r="G201" s="10" t="s">
        <v>56</v>
      </c>
      <c r="H201" s="13" t="s">
        <v>88</v>
      </c>
      <c r="I201" s="10"/>
      <c r="J201" s="10"/>
      <c r="K201" s="10" t="s">
        <v>547</v>
      </c>
      <c r="L201" s="93">
        <v>79</v>
      </c>
      <c r="M201" s="93"/>
      <c r="N201" s="20" t="s">
        <v>1233</v>
      </c>
      <c r="O201" s="21">
        <v>42649</v>
      </c>
      <c r="P201" s="20" t="s">
        <v>548</v>
      </c>
      <c r="Q201" s="21">
        <v>41619</v>
      </c>
      <c r="R201" s="20" t="s">
        <v>1233</v>
      </c>
      <c r="S201" s="21">
        <v>42808</v>
      </c>
      <c r="T201" s="10"/>
      <c r="U201" s="38"/>
      <c r="V201" s="10"/>
      <c r="W201" s="10"/>
      <c r="X201" s="130" t="s">
        <v>987</v>
      </c>
      <c r="Y201" s="130" t="s">
        <v>436</v>
      </c>
      <c r="Z201" s="131">
        <v>39051</v>
      </c>
      <c r="AA201" s="38" t="s">
        <v>1232</v>
      </c>
      <c r="AB201" s="321"/>
      <c r="AC201" s="320">
        <v>42760</v>
      </c>
      <c r="AD201" s="158"/>
      <c r="AE201" s="158"/>
      <c r="AF201" s="158" t="s">
        <v>1061</v>
      </c>
      <c r="AG201" s="158"/>
      <c r="AH201" s="158"/>
      <c r="AI201" s="158"/>
      <c r="AJ201" s="158"/>
      <c r="AK201" s="279" t="s">
        <v>1061</v>
      </c>
    </row>
    <row r="202" spans="1:37" s="35" customFormat="1" x14ac:dyDescent="0.2">
      <c r="A202" s="37" t="s">
        <v>1219</v>
      </c>
      <c r="B202" s="10"/>
      <c r="C202" s="10" t="s">
        <v>112</v>
      </c>
      <c r="D202" s="10"/>
      <c r="E202" s="10" t="s">
        <v>250</v>
      </c>
      <c r="F202" s="10" t="s">
        <v>959</v>
      </c>
      <c r="G202" s="7" t="s">
        <v>56</v>
      </c>
      <c r="H202" s="13" t="s">
        <v>88</v>
      </c>
      <c r="I202" s="7"/>
      <c r="J202" s="7"/>
      <c r="K202" s="10" t="s">
        <v>420</v>
      </c>
      <c r="L202" s="93">
        <v>38</v>
      </c>
      <c r="M202" s="93"/>
      <c r="N202" s="20" t="s">
        <v>1233</v>
      </c>
      <c r="O202" s="21">
        <v>42649</v>
      </c>
      <c r="P202" s="20" t="s">
        <v>548</v>
      </c>
      <c r="Q202" s="21">
        <v>41655</v>
      </c>
      <c r="R202" s="29" t="s">
        <v>1233</v>
      </c>
      <c r="S202" s="152">
        <v>42765</v>
      </c>
      <c r="T202" s="20" t="s">
        <v>548</v>
      </c>
      <c r="U202" s="21">
        <v>41641</v>
      </c>
      <c r="V202" s="7"/>
      <c r="W202" s="7"/>
      <c r="X202" s="130" t="s">
        <v>987</v>
      </c>
      <c r="Y202" s="130" t="s">
        <v>436</v>
      </c>
      <c r="Z202" s="131">
        <v>39051</v>
      </c>
      <c r="AA202" s="38" t="s">
        <v>1232</v>
      </c>
      <c r="AB202" s="325"/>
      <c r="AC202" s="327"/>
      <c r="AD202" s="158" t="s">
        <v>1061</v>
      </c>
      <c r="AE202" s="158"/>
      <c r="AF202" s="158" t="s">
        <v>998</v>
      </c>
      <c r="AG202" s="158" t="s">
        <v>1061</v>
      </c>
      <c r="AH202" s="158"/>
      <c r="AI202" s="158" t="s">
        <v>998</v>
      </c>
      <c r="AJ202" s="158" t="s">
        <v>1061</v>
      </c>
      <c r="AK202" s="279"/>
    </row>
    <row r="203" spans="1:37" x14ac:dyDescent="0.2">
      <c r="A203" s="307" t="s">
        <v>498</v>
      </c>
      <c r="B203" s="8"/>
      <c r="C203" s="8" t="s">
        <v>113</v>
      </c>
      <c r="D203" s="8"/>
      <c r="E203" s="8" t="s">
        <v>193</v>
      </c>
      <c r="F203" s="8" t="s">
        <v>973</v>
      </c>
      <c r="G203" s="10" t="s">
        <v>56</v>
      </c>
      <c r="H203" s="8" t="s">
        <v>166</v>
      </c>
      <c r="I203" s="10"/>
      <c r="J203" s="10"/>
      <c r="K203" s="10" t="s">
        <v>499</v>
      </c>
      <c r="L203" s="93">
        <v>154</v>
      </c>
      <c r="M203" s="93"/>
      <c r="N203" s="30" t="s">
        <v>500</v>
      </c>
      <c r="O203" s="21">
        <v>42528</v>
      </c>
      <c r="P203" s="20" t="s">
        <v>500</v>
      </c>
      <c r="Q203" s="21">
        <v>41579</v>
      </c>
      <c r="R203" s="20" t="s">
        <v>500</v>
      </c>
      <c r="S203" s="21">
        <v>41666</v>
      </c>
      <c r="T203" s="10"/>
      <c r="U203" s="10"/>
      <c r="V203" s="10"/>
      <c r="W203" s="10"/>
      <c r="X203" s="89" t="s">
        <v>989</v>
      </c>
      <c r="Y203" s="100" t="s">
        <v>683</v>
      </c>
      <c r="Z203" s="90">
        <v>41870</v>
      </c>
      <c r="AA203" s="10" t="s">
        <v>1181</v>
      </c>
      <c r="AB203" s="319">
        <v>42487</v>
      </c>
      <c r="AC203" s="318">
        <v>42920</v>
      </c>
      <c r="AD203" s="158"/>
      <c r="AE203" s="158" t="s">
        <v>998</v>
      </c>
      <c r="AF203" s="158" t="s">
        <v>1061</v>
      </c>
      <c r="AG203" s="158"/>
      <c r="AH203" s="158"/>
      <c r="AI203" s="158" t="s">
        <v>1061</v>
      </c>
      <c r="AJ203" s="158" t="s">
        <v>998</v>
      </c>
      <c r="AK203" s="279"/>
    </row>
    <row r="204" spans="1:37" x14ac:dyDescent="0.2">
      <c r="A204" s="26" t="s">
        <v>213</v>
      </c>
      <c r="B204" s="314"/>
      <c r="C204" s="15" t="s">
        <v>113</v>
      </c>
      <c r="D204" s="15"/>
      <c r="E204" s="15" t="s">
        <v>203</v>
      </c>
      <c r="F204" s="154" t="s">
        <v>965</v>
      </c>
      <c r="G204" s="315" t="s">
        <v>56</v>
      </c>
      <c r="H204" s="19" t="s">
        <v>57</v>
      </c>
      <c r="I204" s="19"/>
      <c r="J204" s="19"/>
      <c r="K204" s="19" t="s">
        <v>240</v>
      </c>
      <c r="L204" s="94">
        <v>300</v>
      </c>
      <c r="M204" s="94"/>
      <c r="N204" s="20" t="s">
        <v>1268</v>
      </c>
      <c r="O204" s="21">
        <v>42747</v>
      </c>
      <c r="P204" s="22" t="s">
        <v>1268</v>
      </c>
      <c r="Q204" s="23">
        <v>42894</v>
      </c>
      <c r="R204" s="22" t="s">
        <v>509</v>
      </c>
      <c r="S204" s="23">
        <v>42460</v>
      </c>
      <c r="T204" s="22" t="s">
        <v>241</v>
      </c>
      <c r="U204" s="23">
        <v>40990</v>
      </c>
      <c r="V204" s="19"/>
      <c r="W204" s="19"/>
      <c r="X204" s="130" t="s">
        <v>987</v>
      </c>
      <c r="Y204" s="132" t="s">
        <v>214</v>
      </c>
      <c r="Z204" s="133">
        <v>38119</v>
      </c>
      <c r="AA204" s="102" t="s">
        <v>1009</v>
      </c>
      <c r="AB204" s="318">
        <v>42067</v>
      </c>
      <c r="AC204" s="318">
        <v>42151</v>
      </c>
      <c r="AD204" s="158" t="s">
        <v>1060</v>
      </c>
      <c r="AE204" s="158"/>
      <c r="AF204" s="158"/>
      <c r="AG204" s="158"/>
      <c r="AH204" s="158" t="s">
        <v>1061</v>
      </c>
      <c r="AI204" s="158" t="s">
        <v>998</v>
      </c>
      <c r="AJ204" s="158"/>
      <c r="AK204" s="279" t="s">
        <v>1061</v>
      </c>
    </row>
    <row r="205" spans="1:37" x14ac:dyDescent="0.2">
      <c r="A205" s="26" t="s">
        <v>1406</v>
      </c>
      <c r="B205" s="314"/>
      <c r="C205" s="15" t="s">
        <v>113</v>
      </c>
      <c r="D205" s="15"/>
      <c r="E205" s="15" t="s">
        <v>188</v>
      </c>
      <c r="F205" s="154" t="s">
        <v>967</v>
      </c>
      <c r="G205" s="315" t="s">
        <v>75</v>
      </c>
      <c r="H205" s="19"/>
      <c r="I205" s="19" t="s">
        <v>264</v>
      </c>
      <c r="J205" s="19" t="s">
        <v>1408</v>
      </c>
      <c r="K205" s="19" t="s">
        <v>1409</v>
      </c>
      <c r="L205" s="94"/>
      <c r="M205" s="94"/>
      <c r="N205" s="31" t="s">
        <v>734</v>
      </c>
      <c r="O205" s="32">
        <v>43000</v>
      </c>
      <c r="P205" s="92" t="s">
        <v>734</v>
      </c>
      <c r="Q205" s="24">
        <v>43000</v>
      </c>
      <c r="R205" s="92" t="s">
        <v>734</v>
      </c>
      <c r="S205" s="24">
        <v>43000</v>
      </c>
      <c r="T205" s="39"/>
      <c r="U205" s="40"/>
      <c r="V205" s="19"/>
      <c r="W205" s="19"/>
      <c r="X205" s="257" t="s">
        <v>991</v>
      </c>
      <c r="Y205" s="261" t="s">
        <v>463</v>
      </c>
      <c r="Z205" s="262">
        <v>43000</v>
      </c>
      <c r="AA205" s="102"/>
      <c r="AB205" s="318"/>
      <c r="AC205" s="318"/>
      <c r="AD205" s="158"/>
      <c r="AE205" s="158"/>
      <c r="AF205" s="158"/>
      <c r="AG205" s="158" t="s">
        <v>1061</v>
      </c>
      <c r="AH205" s="158"/>
      <c r="AI205" s="158"/>
      <c r="AJ205" s="158"/>
      <c r="AK205" s="279"/>
    </row>
    <row r="206" spans="1:37" x14ac:dyDescent="0.2">
      <c r="A206" s="26" t="s">
        <v>760</v>
      </c>
      <c r="B206" s="314"/>
      <c r="C206" s="15" t="s">
        <v>113</v>
      </c>
      <c r="D206" s="15"/>
      <c r="E206" s="15" t="s">
        <v>188</v>
      </c>
      <c r="F206" s="15" t="s">
        <v>967</v>
      </c>
      <c r="G206" s="315" t="s">
        <v>72</v>
      </c>
      <c r="H206" s="19"/>
      <c r="I206" s="19" t="s">
        <v>603</v>
      </c>
      <c r="J206" s="19" t="s">
        <v>761</v>
      </c>
      <c r="K206" s="19" t="s">
        <v>727</v>
      </c>
      <c r="L206" s="94">
        <v>387</v>
      </c>
      <c r="M206" s="94"/>
      <c r="N206" s="22" t="s">
        <v>734</v>
      </c>
      <c r="O206" s="23">
        <v>42333</v>
      </c>
      <c r="P206" s="22" t="s">
        <v>734</v>
      </c>
      <c r="Q206" s="23">
        <v>42491</v>
      </c>
      <c r="R206" s="22" t="s">
        <v>734</v>
      </c>
      <c r="S206" s="23">
        <v>42786</v>
      </c>
      <c r="T206" s="39"/>
      <c r="U206" s="40"/>
      <c r="V206" s="39"/>
      <c r="W206" s="39"/>
      <c r="X206" s="89" t="s">
        <v>989</v>
      </c>
      <c r="Y206" s="100" t="s">
        <v>1317</v>
      </c>
      <c r="Z206" s="90">
        <v>42794</v>
      </c>
      <c r="AA206" s="102" t="s">
        <v>733</v>
      </c>
      <c r="AB206" s="318"/>
      <c r="AC206" s="318">
        <v>42970</v>
      </c>
      <c r="AD206" s="158"/>
      <c r="AE206" s="174" t="s">
        <v>1061</v>
      </c>
      <c r="AF206" s="158" t="s">
        <v>1061</v>
      </c>
      <c r="AG206" s="158"/>
      <c r="AH206" s="158"/>
      <c r="AI206" s="158"/>
      <c r="AJ206" s="158"/>
      <c r="AK206" s="279" t="s">
        <v>1061</v>
      </c>
    </row>
    <row r="207" spans="1:37" x14ac:dyDescent="0.2">
      <c r="A207" s="26" t="s">
        <v>1407</v>
      </c>
      <c r="B207" s="314"/>
      <c r="C207" s="15" t="s">
        <v>113</v>
      </c>
      <c r="D207" s="15"/>
      <c r="E207" s="15" t="s">
        <v>188</v>
      </c>
      <c r="F207" s="15" t="s">
        <v>967</v>
      </c>
      <c r="G207" s="315" t="s">
        <v>56</v>
      </c>
      <c r="H207" s="19"/>
      <c r="I207" s="19" t="s">
        <v>169</v>
      </c>
      <c r="J207" s="19" t="s">
        <v>1410</v>
      </c>
      <c r="K207" s="19" t="s">
        <v>1411</v>
      </c>
      <c r="L207" s="94"/>
      <c r="M207" s="94"/>
      <c r="N207" s="22" t="s">
        <v>734</v>
      </c>
      <c r="O207" s="23">
        <v>43028</v>
      </c>
      <c r="P207" s="92" t="s">
        <v>734</v>
      </c>
      <c r="Q207" s="24">
        <v>43039</v>
      </c>
      <c r="R207" s="92" t="s">
        <v>734</v>
      </c>
      <c r="S207" s="24">
        <v>43039</v>
      </c>
      <c r="T207" s="39"/>
      <c r="U207" s="40"/>
      <c r="V207" s="39"/>
      <c r="W207" s="39"/>
      <c r="X207" s="257" t="s">
        <v>991</v>
      </c>
      <c r="Y207" s="258" t="s">
        <v>463</v>
      </c>
      <c r="Z207" s="259">
        <v>43011</v>
      </c>
      <c r="AA207" s="102"/>
      <c r="AB207" s="318"/>
      <c r="AC207" s="325"/>
      <c r="AD207" s="158"/>
      <c r="AE207" s="174"/>
      <c r="AF207" s="158"/>
      <c r="AG207" s="158" t="s">
        <v>1061</v>
      </c>
      <c r="AH207" s="158"/>
      <c r="AI207" s="158"/>
      <c r="AJ207" s="158"/>
      <c r="AK207" s="279"/>
    </row>
    <row r="208" spans="1:37" x14ac:dyDescent="0.2">
      <c r="A208" s="26" t="s">
        <v>1381</v>
      </c>
      <c r="B208" s="314"/>
      <c r="C208" s="15" t="s">
        <v>113</v>
      </c>
      <c r="D208" s="15"/>
      <c r="E208" s="15" t="s">
        <v>188</v>
      </c>
      <c r="F208" s="15" t="s">
        <v>967</v>
      </c>
      <c r="G208" s="315" t="s">
        <v>56</v>
      </c>
      <c r="H208" s="19"/>
      <c r="I208" s="19" t="s">
        <v>166</v>
      </c>
      <c r="J208" s="19" t="s">
        <v>1012</v>
      </c>
      <c r="K208" s="19" t="s">
        <v>1013</v>
      </c>
      <c r="L208" s="94">
        <v>387</v>
      </c>
      <c r="M208" s="94"/>
      <c r="N208" s="22" t="s">
        <v>734</v>
      </c>
      <c r="O208" s="23">
        <v>42318</v>
      </c>
      <c r="P208" s="22" t="s">
        <v>734</v>
      </c>
      <c r="Q208" s="23">
        <v>42491</v>
      </c>
      <c r="R208" s="22" t="s">
        <v>734</v>
      </c>
      <c r="S208" s="23">
        <v>42976</v>
      </c>
      <c r="T208" s="39"/>
      <c r="U208" s="40"/>
      <c r="V208" s="39"/>
      <c r="W208" s="39"/>
      <c r="X208" s="89" t="s">
        <v>989</v>
      </c>
      <c r="Y208" s="100" t="s">
        <v>1330</v>
      </c>
      <c r="Z208" s="90">
        <v>42810</v>
      </c>
      <c r="AA208" s="102" t="s">
        <v>733</v>
      </c>
      <c r="AB208" s="318"/>
      <c r="AC208" s="318">
        <v>42934</v>
      </c>
      <c r="AD208" s="158"/>
      <c r="AE208" s="174" t="s">
        <v>1061</v>
      </c>
      <c r="AF208" s="158" t="s">
        <v>1061</v>
      </c>
      <c r="AG208" s="158"/>
      <c r="AH208" s="158"/>
      <c r="AI208" s="158"/>
      <c r="AJ208" s="158"/>
      <c r="AK208" s="279" t="s">
        <v>1061</v>
      </c>
    </row>
    <row r="209" spans="1:37" x14ac:dyDescent="0.2">
      <c r="A209" s="26" t="s">
        <v>762</v>
      </c>
      <c r="B209" s="314"/>
      <c r="C209" s="15" t="s">
        <v>113</v>
      </c>
      <c r="D209" s="15"/>
      <c r="E209" s="15" t="s">
        <v>188</v>
      </c>
      <c r="F209" s="15" t="s">
        <v>967</v>
      </c>
      <c r="G209" s="315" t="s">
        <v>61</v>
      </c>
      <c r="H209" s="19"/>
      <c r="I209" s="19" t="s">
        <v>763</v>
      </c>
      <c r="J209" s="19" t="s">
        <v>764</v>
      </c>
      <c r="K209" s="19" t="s">
        <v>765</v>
      </c>
      <c r="L209" s="94">
        <v>387</v>
      </c>
      <c r="M209" s="94"/>
      <c r="N209" s="22" t="s">
        <v>734</v>
      </c>
      <c r="O209" s="23">
        <v>42333</v>
      </c>
      <c r="P209" s="22" t="s">
        <v>734</v>
      </c>
      <c r="Q209" s="23">
        <v>42491</v>
      </c>
      <c r="R209" s="20" t="s">
        <v>734</v>
      </c>
      <c r="S209" s="21">
        <v>42811</v>
      </c>
      <c r="T209" s="39"/>
      <c r="U209" s="40"/>
      <c r="V209" s="39"/>
      <c r="W209" s="39"/>
      <c r="X209" s="89" t="s">
        <v>989</v>
      </c>
      <c r="Y209" s="100" t="s">
        <v>1333</v>
      </c>
      <c r="Z209" s="90">
        <v>42811</v>
      </c>
      <c r="AA209" s="102" t="s">
        <v>733</v>
      </c>
      <c r="AB209" s="318"/>
      <c r="AC209" s="318">
        <v>42775</v>
      </c>
      <c r="AD209" s="158"/>
      <c r="AE209" s="174" t="s">
        <v>1061</v>
      </c>
      <c r="AF209" s="158" t="s">
        <v>1061</v>
      </c>
      <c r="AG209" s="158"/>
      <c r="AH209" s="158"/>
      <c r="AI209" s="158"/>
      <c r="AJ209" s="158"/>
      <c r="AK209" s="279" t="s">
        <v>1061</v>
      </c>
    </row>
    <row r="210" spans="1:37" x14ac:dyDescent="0.2">
      <c r="A210" s="26" t="s">
        <v>766</v>
      </c>
      <c r="B210" s="314"/>
      <c r="C210" s="15" t="s">
        <v>113</v>
      </c>
      <c r="D210" s="15"/>
      <c r="E210" s="15" t="s">
        <v>188</v>
      </c>
      <c r="F210" s="15" t="s">
        <v>967</v>
      </c>
      <c r="G210" s="315" t="s">
        <v>305</v>
      </c>
      <c r="H210" s="19"/>
      <c r="I210" s="19" t="s">
        <v>746</v>
      </c>
      <c r="J210" s="19" t="s">
        <v>767</v>
      </c>
      <c r="K210" s="19" t="s">
        <v>768</v>
      </c>
      <c r="L210" s="94">
        <v>387</v>
      </c>
      <c r="M210" s="94"/>
      <c r="N210" s="22" t="s">
        <v>734</v>
      </c>
      <c r="O210" s="23">
        <v>42333</v>
      </c>
      <c r="P210" s="22" t="s">
        <v>734</v>
      </c>
      <c r="Q210" s="23">
        <v>42491</v>
      </c>
      <c r="R210" s="22" t="s">
        <v>734</v>
      </c>
      <c r="S210" s="23">
        <v>42786</v>
      </c>
      <c r="T210" s="39"/>
      <c r="U210" s="40"/>
      <c r="V210" s="39"/>
      <c r="W210" s="39"/>
      <c r="X210" s="89" t="s">
        <v>989</v>
      </c>
      <c r="Y210" s="100" t="s">
        <v>1318</v>
      </c>
      <c r="Z210" s="90">
        <v>42794</v>
      </c>
      <c r="AA210" s="102" t="s">
        <v>733</v>
      </c>
      <c r="AB210" s="318">
        <v>41956</v>
      </c>
      <c r="AC210" s="318">
        <v>42970</v>
      </c>
      <c r="AD210" s="158"/>
      <c r="AE210" s="174" t="s">
        <v>1061</v>
      </c>
      <c r="AF210" s="158" t="s">
        <v>1061</v>
      </c>
      <c r="AG210" s="158"/>
      <c r="AH210" s="158"/>
      <c r="AI210" s="158"/>
      <c r="AJ210" s="158"/>
      <c r="AK210" s="279" t="s">
        <v>1061</v>
      </c>
    </row>
    <row r="211" spans="1:37" x14ac:dyDescent="0.2">
      <c r="A211" s="26" t="s">
        <v>1412</v>
      </c>
      <c r="B211" s="314"/>
      <c r="C211" s="15" t="s">
        <v>113</v>
      </c>
      <c r="D211" s="15"/>
      <c r="E211" s="15" t="s">
        <v>188</v>
      </c>
      <c r="F211" s="15" t="s">
        <v>967</v>
      </c>
      <c r="G211" s="315" t="s">
        <v>69</v>
      </c>
      <c r="H211" s="19"/>
      <c r="I211" s="19" t="s">
        <v>1413</v>
      </c>
      <c r="J211" s="19" t="s">
        <v>1414</v>
      </c>
      <c r="K211" s="19" t="s">
        <v>1415</v>
      </c>
      <c r="L211" s="94"/>
      <c r="M211" s="94"/>
      <c r="N211" s="92" t="s">
        <v>734</v>
      </c>
      <c r="O211" s="24">
        <v>43011</v>
      </c>
      <c r="P211" s="92" t="s">
        <v>734</v>
      </c>
      <c r="Q211" s="24">
        <v>43039</v>
      </c>
      <c r="R211" s="92" t="s">
        <v>734</v>
      </c>
      <c r="S211" s="24">
        <v>43039</v>
      </c>
      <c r="T211" s="39"/>
      <c r="U211" s="40"/>
      <c r="V211" s="39"/>
      <c r="W211" s="39"/>
      <c r="X211" s="257" t="s">
        <v>991</v>
      </c>
      <c r="Y211" s="258" t="s">
        <v>463</v>
      </c>
      <c r="Z211" s="259">
        <v>43011</v>
      </c>
      <c r="AA211" s="102"/>
      <c r="AB211" s="318"/>
      <c r="AC211" s="325"/>
      <c r="AD211" s="158"/>
      <c r="AE211" s="174"/>
      <c r="AF211" s="158"/>
      <c r="AG211" s="158" t="s">
        <v>1061</v>
      </c>
      <c r="AH211" s="158"/>
      <c r="AI211" s="158"/>
      <c r="AJ211" s="158"/>
      <c r="AK211" s="279"/>
    </row>
    <row r="212" spans="1:37" x14ac:dyDescent="0.2">
      <c r="A212" s="26" t="s">
        <v>1109</v>
      </c>
      <c r="B212" s="314"/>
      <c r="C212" s="15" t="s">
        <v>113</v>
      </c>
      <c r="D212" s="15"/>
      <c r="E212" s="15" t="s">
        <v>188</v>
      </c>
      <c r="F212" s="15" t="s">
        <v>967</v>
      </c>
      <c r="G212" s="315" t="s">
        <v>69</v>
      </c>
      <c r="H212" s="19"/>
      <c r="I212" s="19" t="s">
        <v>736</v>
      </c>
      <c r="J212" s="19" t="s">
        <v>737</v>
      </c>
      <c r="K212" s="19" t="s">
        <v>1110</v>
      </c>
      <c r="L212" s="94">
        <v>387</v>
      </c>
      <c r="M212" s="94"/>
      <c r="N212" s="20" t="s">
        <v>734</v>
      </c>
      <c r="O212" s="21">
        <v>42641</v>
      </c>
      <c r="P212" s="22" t="s">
        <v>734</v>
      </c>
      <c r="Q212" s="23">
        <v>42872</v>
      </c>
      <c r="R212" s="22" t="s">
        <v>734</v>
      </c>
      <c r="S212" s="23">
        <v>42971</v>
      </c>
      <c r="T212" s="39"/>
      <c r="U212" s="40"/>
      <c r="V212" s="39"/>
      <c r="W212" s="39"/>
      <c r="X212" s="89" t="s">
        <v>989</v>
      </c>
      <c r="Y212" s="100" t="s">
        <v>1382</v>
      </c>
      <c r="Z212" s="90">
        <v>42985</v>
      </c>
      <c r="AA212" s="102" t="s">
        <v>733</v>
      </c>
      <c r="AB212" s="318"/>
      <c r="AC212" s="318">
        <v>43004</v>
      </c>
      <c r="AD212" s="158"/>
      <c r="AE212" s="174" t="s">
        <v>1061</v>
      </c>
      <c r="AF212" s="158" t="s">
        <v>1061</v>
      </c>
      <c r="AG212" s="158"/>
      <c r="AH212" s="158"/>
      <c r="AI212" s="158"/>
      <c r="AJ212" s="158"/>
      <c r="AK212" s="279" t="s">
        <v>1061</v>
      </c>
    </row>
    <row r="213" spans="1:37" x14ac:dyDescent="0.2">
      <c r="A213" s="26" t="s">
        <v>1075</v>
      </c>
      <c r="B213" s="314"/>
      <c r="C213" s="15" t="s">
        <v>113</v>
      </c>
      <c r="D213" s="15"/>
      <c r="E213" s="15" t="s">
        <v>188</v>
      </c>
      <c r="F213" s="15" t="s">
        <v>967</v>
      </c>
      <c r="G213" s="315" t="s">
        <v>56</v>
      </c>
      <c r="H213" s="19"/>
      <c r="I213" s="19" t="s">
        <v>172</v>
      </c>
      <c r="J213" s="19" t="s">
        <v>178</v>
      </c>
      <c r="K213" s="19" t="s">
        <v>1076</v>
      </c>
      <c r="L213" s="94">
        <v>393</v>
      </c>
      <c r="M213" s="94"/>
      <c r="N213" s="22" t="s">
        <v>734</v>
      </c>
      <c r="O213" s="23">
        <v>42906</v>
      </c>
      <c r="P213" s="22" t="s">
        <v>734</v>
      </c>
      <c r="Q213" s="23">
        <v>42809</v>
      </c>
      <c r="R213" s="22" t="s">
        <v>734</v>
      </c>
      <c r="S213" s="23">
        <v>42809</v>
      </c>
      <c r="T213" s="39"/>
      <c r="U213" s="40"/>
      <c r="V213" s="39"/>
      <c r="W213" s="39"/>
      <c r="X213" s="89" t="s">
        <v>989</v>
      </c>
      <c r="Y213" s="100" t="s">
        <v>1331</v>
      </c>
      <c r="Z213" s="90">
        <v>42811</v>
      </c>
      <c r="AA213" s="102" t="s">
        <v>733</v>
      </c>
      <c r="AB213" s="318"/>
      <c r="AC213" s="318">
        <v>42906</v>
      </c>
      <c r="AD213" s="158"/>
      <c r="AE213" s="174" t="s">
        <v>1061</v>
      </c>
      <c r="AF213" s="158" t="s">
        <v>1061</v>
      </c>
      <c r="AG213" s="158"/>
      <c r="AH213" s="158"/>
      <c r="AI213" s="158"/>
      <c r="AJ213" s="158"/>
      <c r="AK213" s="279" t="s">
        <v>1061</v>
      </c>
    </row>
    <row r="214" spans="1:37" x14ac:dyDescent="0.2">
      <c r="A214" s="26" t="s">
        <v>1077</v>
      </c>
      <c r="B214" s="314"/>
      <c r="C214" s="15" t="s">
        <v>113</v>
      </c>
      <c r="D214" s="15"/>
      <c r="E214" s="15" t="s">
        <v>188</v>
      </c>
      <c r="F214" s="15" t="s">
        <v>967</v>
      </c>
      <c r="G214" s="315" t="s">
        <v>56</v>
      </c>
      <c r="H214" s="19"/>
      <c r="I214" s="19" t="s">
        <v>172</v>
      </c>
      <c r="J214" s="19" t="s">
        <v>178</v>
      </c>
      <c r="K214" s="19" t="s">
        <v>1078</v>
      </c>
      <c r="L214" s="94">
        <v>380</v>
      </c>
      <c r="M214" s="94"/>
      <c r="N214" s="22" t="s">
        <v>734</v>
      </c>
      <c r="O214" s="23">
        <v>42906</v>
      </c>
      <c r="P214" s="22" t="s">
        <v>734</v>
      </c>
      <c r="Q214" s="23">
        <v>42809</v>
      </c>
      <c r="R214" s="22" t="s">
        <v>734</v>
      </c>
      <c r="S214" s="23">
        <v>42809</v>
      </c>
      <c r="T214" s="39"/>
      <c r="U214" s="40"/>
      <c r="V214" s="39"/>
      <c r="W214" s="39"/>
      <c r="X214" s="89" t="s">
        <v>989</v>
      </c>
      <c r="Y214" s="100" t="s">
        <v>1332</v>
      </c>
      <c r="Z214" s="90">
        <v>42811</v>
      </c>
      <c r="AA214" s="102" t="s">
        <v>733</v>
      </c>
      <c r="AB214" s="318"/>
      <c r="AC214" s="318">
        <v>42906</v>
      </c>
      <c r="AD214" s="158"/>
      <c r="AE214" s="174" t="s">
        <v>1061</v>
      </c>
      <c r="AF214" s="158" t="s">
        <v>1061</v>
      </c>
      <c r="AG214" s="158"/>
      <c r="AH214" s="158"/>
      <c r="AI214" s="158"/>
      <c r="AJ214" s="158"/>
      <c r="AK214" s="279" t="s">
        <v>1061</v>
      </c>
    </row>
    <row r="215" spans="1:37" x14ac:dyDescent="0.2">
      <c r="A215" s="26" t="s">
        <v>1394</v>
      </c>
      <c r="B215" s="314"/>
      <c r="C215" s="15" t="s">
        <v>113</v>
      </c>
      <c r="D215" s="15"/>
      <c r="E215" s="15" t="s">
        <v>188</v>
      </c>
      <c r="F215" s="15" t="s">
        <v>967</v>
      </c>
      <c r="G215" s="315" t="s">
        <v>56</v>
      </c>
      <c r="H215" s="19"/>
      <c r="I215" s="19" t="s">
        <v>164</v>
      </c>
      <c r="J215" s="19" t="s">
        <v>717</v>
      </c>
      <c r="K215" s="19" t="s">
        <v>1396</v>
      </c>
      <c r="L215" s="94"/>
      <c r="M215" s="94"/>
      <c r="N215" s="22" t="s">
        <v>734</v>
      </c>
      <c r="O215" s="23">
        <v>43000</v>
      </c>
      <c r="P215" s="92" t="s">
        <v>734</v>
      </c>
      <c r="Q215" s="24">
        <v>42996</v>
      </c>
      <c r="R215" s="92" t="s">
        <v>734</v>
      </c>
      <c r="S215" s="24">
        <v>42996</v>
      </c>
      <c r="T215" s="39"/>
      <c r="U215" s="40"/>
      <c r="V215" s="39"/>
      <c r="W215" s="39"/>
      <c r="X215" s="257" t="s">
        <v>1395</v>
      </c>
      <c r="Y215" s="258" t="s">
        <v>463</v>
      </c>
      <c r="Z215" s="259">
        <v>42996</v>
      </c>
      <c r="AA215" s="102" t="s">
        <v>733</v>
      </c>
      <c r="AB215" s="328">
        <v>43040</v>
      </c>
      <c r="AC215" s="318"/>
      <c r="AD215" s="158"/>
      <c r="AE215" s="174"/>
      <c r="AF215" s="158" t="s">
        <v>998</v>
      </c>
      <c r="AG215" s="158" t="s">
        <v>1061</v>
      </c>
      <c r="AH215" s="158"/>
      <c r="AI215" s="158"/>
      <c r="AJ215" s="158"/>
      <c r="AK215" s="279"/>
    </row>
    <row r="216" spans="1:37" x14ac:dyDescent="0.2">
      <c r="A216" s="26" t="s">
        <v>1416</v>
      </c>
      <c r="B216" s="314"/>
      <c r="C216" s="15" t="s">
        <v>113</v>
      </c>
      <c r="D216" s="15"/>
      <c r="E216" s="15" t="s">
        <v>188</v>
      </c>
      <c r="F216" s="15" t="s">
        <v>967</v>
      </c>
      <c r="G216" s="315" t="s">
        <v>56</v>
      </c>
      <c r="H216" s="19"/>
      <c r="I216" s="19" t="s">
        <v>146</v>
      </c>
      <c r="J216" s="19" t="s">
        <v>1417</v>
      </c>
      <c r="K216" s="19" t="s">
        <v>1418</v>
      </c>
      <c r="L216" s="94"/>
      <c r="M216" s="94"/>
      <c r="N216" s="22" t="s">
        <v>734</v>
      </c>
      <c r="O216" s="23">
        <v>43028</v>
      </c>
      <c r="P216" s="92" t="s">
        <v>734</v>
      </c>
      <c r="Q216" s="24">
        <v>43039</v>
      </c>
      <c r="R216" s="92" t="s">
        <v>734</v>
      </c>
      <c r="S216" s="24">
        <v>43039</v>
      </c>
      <c r="T216" s="39"/>
      <c r="U216" s="40"/>
      <c r="V216" s="39"/>
      <c r="W216" s="39"/>
      <c r="X216" s="257" t="s">
        <v>991</v>
      </c>
      <c r="Y216" s="258" t="s">
        <v>463</v>
      </c>
      <c r="Z216" s="259">
        <v>43011</v>
      </c>
      <c r="AA216" s="102"/>
      <c r="AB216" s="318"/>
      <c r="AC216" s="318"/>
      <c r="AD216" s="158"/>
      <c r="AE216" s="174"/>
      <c r="AF216" s="158"/>
      <c r="AG216" s="158" t="s">
        <v>1061</v>
      </c>
      <c r="AH216" s="158"/>
      <c r="AI216" s="158"/>
      <c r="AJ216" s="158"/>
      <c r="AK216" s="279"/>
    </row>
    <row r="217" spans="1:37" x14ac:dyDescent="0.2">
      <c r="A217" s="26" t="s">
        <v>947</v>
      </c>
      <c r="B217" s="314"/>
      <c r="C217" s="15" t="s">
        <v>113</v>
      </c>
      <c r="D217" s="15"/>
      <c r="E217" s="15" t="s">
        <v>188</v>
      </c>
      <c r="F217" s="15" t="s">
        <v>967</v>
      </c>
      <c r="G217" s="315" t="s">
        <v>305</v>
      </c>
      <c r="H217" s="19"/>
      <c r="I217" s="19" t="s">
        <v>948</v>
      </c>
      <c r="J217" s="19" t="s">
        <v>949</v>
      </c>
      <c r="K217" s="19" t="s">
        <v>727</v>
      </c>
      <c r="L217" s="94">
        <v>387</v>
      </c>
      <c r="M217" s="94"/>
      <c r="N217" s="22" t="s">
        <v>734</v>
      </c>
      <c r="O217" s="23">
        <v>42333</v>
      </c>
      <c r="P217" s="22" t="s">
        <v>734</v>
      </c>
      <c r="Q217" s="23">
        <v>42491</v>
      </c>
      <c r="R217" s="22" t="s">
        <v>734</v>
      </c>
      <c r="S217" s="23">
        <v>42786</v>
      </c>
      <c r="T217" s="39"/>
      <c r="U217" s="40"/>
      <c r="V217" s="39"/>
      <c r="W217" s="39"/>
      <c r="X217" s="89" t="s">
        <v>989</v>
      </c>
      <c r="Y217" s="100" t="s">
        <v>1319</v>
      </c>
      <c r="Z217" s="90">
        <v>42794</v>
      </c>
      <c r="AA217" s="102" t="s">
        <v>733</v>
      </c>
      <c r="AB217" s="318"/>
      <c r="AC217" s="318">
        <v>42970</v>
      </c>
      <c r="AD217" s="158"/>
      <c r="AE217" s="174" t="s">
        <v>1061</v>
      </c>
      <c r="AF217" s="158" t="s">
        <v>1061</v>
      </c>
      <c r="AG217" s="158"/>
      <c r="AH217" s="158"/>
      <c r="AI217" s="158"/>
      <c r="AJ217" s="158"/>
      <c r="AK217" s="279" t="s">
        <v>1061</v>
      </c>
    </row>
    <row r="218" spans="1:37" x14ac:dyDescent="0.2">
      <c r="A218" s="26" t="s">
        <v>769</v>
      </c>
      <c r="B218" s="314"/>
      <c r="C218" s="15" t="s">
        <v>113</v>
      </c>
      <c r="D218" s="15"/>
      <c r="E218" s="15" t="s">
        <v>188</v>
      </c>
      <c r="F218" s="15" t="s">
        <v>967</v>
      </c>
      <c r="G218" s="315" t="s">
        <v>56</v>
      </c>
      <c r="H218" s="19"/>
      <c r="I218" s="19" t="s">
        <v>169</v>
      </c>
      <c r="J218" s="19" t="s">
        <v>169</v>
      </c>
      <c r="K218" s="19" t="s">
        <v>770</v>
      </c>
      <c r="L218" s="94">
        <v>387</v>
      </c>
      <c r="M218" s="94"/>
      <c r="N218" s="22" t="s">
        <v>734</v>
      </c>
      <c r="O218" s="23">
        <v>42318</v>
      </c>
      <c r="P218" s="22" t="s">
        <v>734</v>
      </c>
      <c r="Q218" s="23">
        <v>42491</v>
      </c>
      <c r="R218" s="22" t="s">
        <v>734</v>
      </c>
      <c r="S218" s="23">
        <v>42808</v>
      </c>
      <c r="T218" s="39"/>
      <c r="U218" s="40"/>
      <c r="V218" s="39"/>
      <c r="W218" s="39"/>
      <c r="X218" s="89" t="s">
        <v>989</v>
      </c>
      <c r="Y218" s="100" t="s">
        <v>1329</v>
      </c>
      <c r="Z218" s="90">
        <v>42811</v>
      </c>
      <c r="AA218" s="102" t="s">
        <v>733</v>
      </c>
      <c r="AB218" s="318"/>
      <c r="AC218" s="327"/>
      <c r="AD218" s="158" t="s">
        <v>1061</v>
      </c>
      <c r="AE218" s="158"/>
      <c r="AF218" s="158"/>
      <c r="AG218" s="158"/>
      <c r="AH218" s="158" t="s">
        <v>1061</v>
      </c>
      <c r="AI218" s="158"/>
      <c r="AJ218" s="158"/>
      <c r="AK218" s="279"/>
    </row>
    <row r="219" spans="1:37" x14ac:dyDescent="0.2">
      <c r="A219" s="26" t="s">
        <v>952</v>
      </c>
      <c r="B219" s="314"/>
      <c r="C219" s="15" t="s">
        <v>113</v>
      </c>
      <c r="D219" s="15"/>
      <c r="E219" s="15" t="s">
        <v>188</v>
      </c>
      <c r="F219" s="15" t="s">
        <v>967</v>
      </c>
      <c r="G219" s="315" t="s">
        <v>69</v>
      </c>
      <c r="H219" s="19"/>
      <c r="I219" s="19" t="s">
        <v>342</v>
      </c>
      <c r="J219" s="19" t="s">
        <v>953</v>
      </c>
      <c r="K219" s="19" t="s">
        <v>954</v>
      </c>
      <c r="L219" s="94">
        <v>387</v>
      </c>
      <c r="M219" s="94"/>
      <c r="N219" s="22" t="s">
        <v>734</v>
      </c>
      <c r="O219" s="23">
        <v>42333</v>
      </c>
      <c r="P219" s="22" t="s">
        <v>734</v>
      </c>
      <c r="Q219" s="23">
        <v>42491</v>
      </c>
      <c r="R219" s="22" t="s">
        <v>734</v>
      </c>
      <c r="S219" s="23">
        <v>42926</v>
      </c>
      <c r="T219" s="39"/>
      <c r="U219" s="40"/>
      <c r="V219" s="39"/>
      <c r="W219" s="39"/>
      <c r="X219" s="89" t="s">
        <v>989</v>
      </c>
      <c r="Y219" s="100" t="s">
        <v>1373</v>
      </c>
      <c r="Z219" s="90">
        <v>42947</v>
      </c>
      <c r="AA219" s="102" t="s">
        <v>733</v>
      </c>
      <c r="AB219" s="318"/>
      <c r="AC219" s="320">
        <v>42656</v>
      </c>
      <c r="AD219" s="158"/>
      <c r="AE219" s="158" t="s">
        <v>1061</v>
      </c>
      <c r="AF219" s="158"/>
      <c r="AG219" s="158"/>
      <c r="AH219" s="158"/>
      <c r="AI219" s="158"/>
      <c r="AJ219" s="158" t="s">
        <v>1061</v>
      </c>
      <c r="AK219" s="279"/>
    </row>
    <row r="220" spans="1:37" x14ac:dyDescent="0.2">
      <c r="A220" s="26" t="s">
        <v>729</v>
      </c>
      <c r="B220" s="314"/>
      <c r="C220" s="15" t="s">
        <v>113</v>
      </c>
      <c r="D220" s="15"/>
      <c r="E220" s="15" t="s">
        <v>188</v>
      </c>
      <c r="F220" s="15" t="s">
        <v>967</v>
      </c>
      <c r="G220" s="315" t="s">
        <v>292</v>
      </c>
      <c r="H220" s="19"/>
      <c r="I220" s="19" t="s">
        <v>730</v>
      </c>
      <c r="J220" s="19" t="s">
        <v>731</v>
      </c>
      <c r="K220" s="19" t="s">
        <v>732</v>
      </c>
      <c r="L220" s="94">
        <v>387</v>
      </c>
      <c r="M220" s="94"/>
      <c r="N220" s="22" t="s">
        <v>734</v>
      </c>
      <c r="O220" s="23">
        <v>42333</v>
      </c>
      <c r="P220" s="22" t="s">
        <v>734</v>
      </c>
      <c r="Q220" s="23">
        <v>42491</v>
      </c>
      <c r="R220" s="22" t="s">
        <v>734</v>
      </c>
      <c r="S220" s="23">
        <v>42972</v>
      </c>
      <c r="T220" s="39"/>
      <c r="U220" s="40"/>
      <c r="V220" s="39"/>
      <c r="W220" s="39"/>
      <c r="X220" s="89" t="s">
        <v>989</v>
      </c>
      <c r="Y220" s="100" t="s">
        <v>1384</v>
      </c>
      <c r="Z220" s="90">
        <v>42985</v>
      </c>
      <c r="AA220" s="102" t="s">
        <v>733</v>
      </c>
      <c r="AB220" s="318"/>
      <c r="AC220" s="327"/>
      <c r="AD220" s="158" t="s">
        <v>1061</v>
      </c>
      <c r="AE220" s="158"/>
      <c r="AF220" s="158"/>
      <c r="AG220" s="158"/>
      <c r="AH220" s="158" t="s">
        <v>1061</v>
      </c>
      <c r="AI220" s="158"/>
      <c r="AJ220" s="158"/>
      <c r="AK220" s="279"/>
    </row>
    <row r="221" spans="1:37" x14ac:dyDescent="0.2">
      <c r="A221" s="26" t="s">
        <v>1419</v>
      </c>
      <c r="B221" s="314"/>
      <c r="C221" s="15" t="s">
        <v>113</v>
      </c>
      <c r="D221" s="15"/>
      <c r="E221" s="15" t="s">
        <v>188</v>
      </c>
      <c r="F221" s="15" t="s">
        <v>967</v>
      </c>
      <c r="G221" s="315" t="s">
        <v>56</v>
      </c>
      <c r="H221" s="19"/>
      <c r="I221" s="19" t="s">
        <v>1420</v>
      </c>
      <c r="J221" s="19" t="s">
        <v>1421</v>
      </c>
      <c r="K221" s="19" t="s">
        <v>1422</v>
      </c>
      <c r="L221" s="94"/>
      <c r="M221" s="94"/>
      <c r="N221" s="22" t="s">
        <v>734</v>
      </c>
      <c r="O221" s="23">
        <v>43028</v>
      </c>
      <c r="P221" s="92" t="s">
        <v>734</v>
      </c>
      <c r="Q221" s="24">
        <v>43039</v>
      </c>
      <c r="R221" s="92" t="s">
        <v>734</v>
      </c>
      <c r="S221" s="24">
        <v>43039</v>
      </c>
      <c r="T221" s="39"/>
      <c r="U221" s="40"/>
      <c r="V221" s="39"/>
      <c r="W221" s="39"/>
      <c r="X221" s="257" t="s">
        <v>991</v>
      </c>
      <c r="Y221" s="258" t="s">
        <v>463</v>
      </c>
      <c r="Z221" s="259">
        <v>43011</v>
      </c>
      <c r="AA221" s="102"/>
      <c r="AB221" s="318"/>
      <c r="AC221" s="327"/>
      <c r="AD221" s="158"/>
      <c r="AE221" s="158"/>
      <c r="AF221" s="158"/>
      <c r="AG221" s="158" t="s">
        <v>1061</v>
      </c>
      <c r="AH221" s="158"/>
      <c r="AI221" s="158"/>
      <c r="AJ221" s="158"/>
      <c r="AK221" s="279"/>
    </row>
    <row r="222" spans="1:37" x14ac:dyDescent="0.2">
      <c r="A222" s="26" t="s">
        <v>1014</v>
      </c>
      <c r="B222" s="314"/>
      <c r="C222" s="15" t="s">
        <v>113</v>
      </c>
      <c r="D222" s="15"/>
      <c r="E222" s="15" t="s">
        <v>188</v>
      </c>
      <c r="F222" s="15" t="s">
        <v>967</v>
      </c>
      <c r="G222" s="315" t="s">
        <v>107</v>
      </c>
      <c r="H222" s="19"/>
      <c r="I222" s="19" t="s">
        <v>270</v>
      </c>
      <c r="J222" s="19" t="s">
        <v>1103</v>
      </c>
      <c r="K222" s="19" t="s">
        <v>1104</v>
      </c>
      <c r="L222" s="94">
        <v>387</v>
      </c>
      <c r="M222" s="94"/>
      <c r="N222" s="22" t="s">
        <v>734</v>
      </c>
      <c r="O222" s="23">
        <v>42318</v>
      </c>
      <c r="P222" s="22" t="s">
        <v>734</v>
      </c>
      <c r="Q222" s="23">
        <v>42491</v>
      </c>
      <c r="R222" s="22" t="s">
        <v>734</v>
      </c>
      <c r="S222" s="23">
        <v>42926</v>
      </c>
      <c r="T222" s="39"/>
      <c r="U222" s="40"/>
      <c r="V222" s="39"/>
      <c r="W222" s="39"/>
      <c r="X222" s="89" t="s">
        <v>989</v>
      </c>
      <c r="Y222" s="100" t="s">
        <v>1374</v>
      </c>
      <c r="Z222" s="90">
        <v>42947</v>
      </c>
      <c r="AA222" s="102" t="s">
        <v>733</v>
      </c>
      <c r="AB222" s="318"/>
      <c r="AC222" s="320">
        <v>42656</v>
      </c>
      <c r="AD222" s="158"/>
      <c r="AE222" s="158" t="s">
        <v>1061</v>
      </c>
      <c r="AF222" s="158"/>
      <c r="AG222" s="158"/>
      <c r="AH222" s="158"/>
      <c r="AI222" s="158"/>
      <c r="AJ222" s="158" t="s">
        <v>1061</v>
      </c>
      <c r="AK222" s="279"/>
    </row>
    <row r="223" spans="1:37" x14ac:dyDescent="0.2">
      <c r="A223" s="26" t="s">
        <v>1105</v>
      </c>
      <c r="B223" s="314"/>
      <c r="C223" s="15" t="s">
        <v>113</v>
      </c>
      <c r="D223" s="15"/>
      <c r="E223" s="15" t="s">
        <v>188</v>
      </c>
      <c r="F223" s="15" t="s">
        <v>967</v>
      </c>
      <c r="G223" s="315" t="s">
        <v>69</v>
      </c>
      <c r="H223" s="19"/>
      <c r="I223" s="19" t="s">
        <v>928</v>
      </c>
      <c r="J223" s="19" t="s">
        <v>1106</v>
      </c>
      <c r="K223" s="19" t="s">
        <v>1107</v>
      </c>
      <c r="L223" s="94">
        <v>462</v>
      </c>
      <c r="M223" s="94"/>
      <c r="N223" s="22" t="s">
        <v>734</v>
      </c>
      <c r="O223" s="23">
        <v>42505</v>
      </c>
      <c r="P223" s="22" t="s">
        <v>734</v>
      </c>
      <c r="Q223" s="23">
        <v>42535</v>
      </c>
      <c r="R223" s="22" t="s">
        <v>734</v>
      </c>
      <c r="S223" s="23">
        <v>42972</v>
      </c>
      <c r="T223" s="39"/>
      <c r="U223" s="40"/>
      <c r="V223" s="39"/>
      <c r="W223" s="39"/>
      <c r="X223" s="89" t="s">
        <v>989</v>
      </c>
      <c r="Y223" s="100" t="s">
        <v>1383</v>
      </c>
      <c r="Z223" s="90">
        <v>42985</v>
      </c>
      <c r="AA223" s="102" t="s">
        <v>733</v>
      </c>
      <c r="AB223" s="318"/>
      <c r="AC223" s="320">
        <v>43004</v>
      </c>
      <c r="AD223" s="158"/>
      <c r="AE223" s="158"/>
      <c r="AF223" s="158" t="s">
        <v>1061</v>
      </c>
      <c r="AG223" s="158"/>
      <c r="AH223" s="158"/>
      <c r="AI223" s="158"/>
      <c r="AJ223" s="158"/>
      <c r="AK223" s="279" t="s">
        <v>1061</v>
      </c>
    </row>
    <row r="224" spans="1:37" x14ac:dyDescent="0.2">
      <c r="A224" s="26" t="s">
        <v>739</v>
      </c>
      <c r="B224" s="314"/>
      <c r="C224" s="15" t="s">
        <v>113</v>
      </c>
      <c r="D224" s="15"/>
      <c r="E224" s="15" t="s">
        <v>188</v>
      </c>
      <c r="F224" s="15" t="s">
        <v>967</v>
      </c>
      <c r="G224" s="315" t="s">
        <v>75</v>
      </c>
      <c r="H224" s="19"/>
      <c r="I224" s="19" t="s">
        <v>740</v>
      </c>
      <c r="J224" s="19" t="s">
        <v>740</v>
      </c>
      <c r="K224" s="19" t="s">
        <v>741</v>
      </c>
      <c r="L224" s="94">
        <v>402</v>
      </c>
      <c r="M224" s="94"/>
      <c r="N224" s="20" t="s">
        <v>734</v>
      </c>
      <c r="O224" s="21">
        <v>41957</v>
      </c>
      <c r="P224" s="22" t="s">
        <v>734</v>
      </c>
      <c r="Q224" s="23">
        <v>42067</v>
      </c>
      <c r="R224" s="22" t="s">
        <v>734</v>
      </c>
      <c r="S224" s="23">
        <v>42132</v>
      </c>
      <c r="T224" s="39"/>
      <c r="U224" s="40"/>
      <c r="V224" s="39"/>
      <c r="W224" s="39"/>
      <c r="X224" s="89" t="s">
        <v>989</v>
      </c>
      <c r="Y224" s="100" t="s">
        <v>896</v>
      </c>
      <c r="Z224" s="90">
        <v>42144</v>
      </c>
      <c r="AA224" s="102" t="s">
        <v>733</v>
      </c>
      <c r="AB224" s="318">
        <v>42172</v>
      </c>
      <c r="AC224" s="320">
        <v>42991</v>
      </c>
      <c r="AD224" s="158" t="s">
        <v>1060</v>
      </c>
      <c r="AE224" s="158"/>
      <c r="AF224" s="158"/>
      <c r="AG224" s="158"/>
      <c r="AH224" s="158" t="s">
        <v>1061</v>
      </c>
      <c r="AI224" s="158"/>
      <c r="AJ224" s="158"/>
      <c r="AK224" s="279"/>
    </row>
    <row r="225" spans="1:37" x14ac:dyDescent="0.2">
      <c r="A225" s="26" t="s">
        <v>1423</v>
      </c>
      <c r="B225" s="314"/>
      <c r="C225" s="15" t="s">
        <v>113</v>
      </c>
      <c r="D225" s="15"/>
      <c r="E225" s="15" t="s">
        <v>188</v>
      </c>
      <c r="F225" s="15" t="s">
        <v>967</v>
      </c>
      <c r="G225" s="315" t="s">
        <v>66</v>
      </c>
      <c r="H225" s="19"/>
      <c r="I225" s="19" t="s">
        <v>744</v>
      </c>
      <c r="J225" s="19" t="s">
        <v>1424</v>
      </c>
      <c r="K225" s="19" t="s">
        <v>1425</v>
      </c>
      <c r="L225" s="94"/>
      <c r="M225" s="94"/>
      <c r="N225" s="20" t="s">
        <v>734</v>
      </c>
      <c r="O225" s="21">
        <v>43028</v>
      </c>
      <c r="P225" s="92"/>
      <c r="Q225" s="24"/>
      <c r="R225" s="92"/>
      <c r="S225" s="24"/>
      <c r="T225" s="39"/>
      <c r="U225" s="40"/>
      <c r="V225" s="39"/>
      <c r="W225" s="39"/>
      <c r="X225" s="257" t="s">
        <v>991</v>
      </c>
      <c r="Y225" s="258" t="s">
        <v>463</v>
      </c>
      <c r="Z225" s="259">
        <v>43011</v>
      </c>
      <c r="AA225" s="102"/>
      <c r="AB225" s="318"/>
      <c r="AC225" s="327"/>
      <c r="AD225" s="158"/>
      <c r="AE225" s="158"/>
      <c r="AF225" s="158"/>
      <c r="AG225" s="158" t="s">
        <v>1061</v>
      </c>
      <c r="AH225" s="158"/>
      <c r="AI225" s="158"/>
      <c r="AJ225" s="158"/>
      <c r="AK225" s="279"/>
    </row>
    <row r="226" spans="1:37" x14ac:dyDescent="0.2">
      <c r="A226" s="26" t="s">
        <v>735</v>
      </c>
      <c r="B226" s="314"/>
      <c r="C226" s="15" t="s">
        <v>113</v>
      </c>
      <c r="D226" s="15"/>
      <c r="E226" s="15" t="s">
        <v>188</v>
      </c>
      <c r="F226" s="15" t="s">
        <v>967</v>
      </c>
      <c r="G226" s="315" t="s">
        <v>69</v>
      </c>
      <c r="H226" s="19"/>
      <c r="I226" s="19" t="s">
        <v>736</v>
      </c>
      <c r="J226" s="19" t="s">
        <v>737</v>
      </c>
      <c r="K226" s="19" t="s">
        <v>738</v>
      </c>
      <c r="L226" s="94">
        <v>387</v>
      </c>
      <c r="M226" s="94"/>
      <c r="N226" s="22" t="s">
        <v>734</v>
      </c>
      <c r="O226" s="23">
        <v>42333</v>
      </c>
      <c r="P226" s="22" t="s">
        <v>734</v>
      </c>
      <c r="Q226" s="23">
        <v>42491</v>
      </c>
      <c r="R226" s="22" t="s">
        <v>734</v>
      </c>
      <c r="S226" s="23">
        <v>42972</v>
      </c>
      <c r="T226" s="39"/>
      <c r="U226" s="40"/>
      <c r="V226" s="39"/>
      <c r="W226" s="39"/>
      <c r="X226" s="89" t="s">
        <v>989</v>
      </c>
      <c r="Y226" s="100" t="s">
        <v>1385</v>
      </c>
      <c r="Z226" s="90">
        <v>42985</v>
      </c>
      <c r="AA226" s="102" t="s">
        <v>733</v>
      </c>
      <c r="AB226" s="318"/>
      <c r="AC226" s="327"/>
      <c r="AD226" s="158"/>
      <c r="AE226" s="174" t="s">
        <v>1061</v>
      </c>
      <c r="AF226" s="158"/>
      <c r="AG226" s="158" t="s">
        <v>1061</v>
      </c>
      <c r="AH226" s="158"/>
      <c r="AI226" s="158"/>
      <c r="AJ226" s="158"/>
      <c r="AK226" s="279"/>
    </row>
    <row r="227" spans="1:37" x14ac:dyDescent="0.2">
      <c r="A227" s="26" t="s">
        <v>1426</v>
      </c>
      <c r="B227" s="314"/>
      <c r="C227" s="15" t="s">
        <v>113</v>
      </c>
      <c r="D227" s="15"/>
      <c r="E227" s="15" t="s">
        <v>188</v>
      </c>
      <c r="F227" s="15" t="s">
        <v>967</v>
      </c>
      <c r="G227" s="315" t="s">
        <v>56</v>
      </c>
      <c r="H227" s="19" t="s">
        <v>130</v>
      </c>
      <c r="I227" s="19"/>
      <c r="J227" s="19"/>
      <c r="K227" s="19" t="s">
        <v>1427</v>
      </c>
      <c r="L227" s="94"/>
      <c r="M227" s="94"/>
      <c r="N227" s="92" t="s">
        <v>734</v>
      </c>
      <c r="O227" s="24">
        <v>43011</v>
      </c>
      <c r="P227" s="92"/>
      <c r="Q227" s="24"/>
      <c r="R227" s="92"/>
      <c r="S227" s="24"/>
      <c r="T227" s="39"/>
      <c r="U227" s="40"/>
      <c r="V227" s="39"/>
      <c r="W227" s="39"/>
      <c r="X227" s="257" t="s">
        <v>991</v>
      </c>
      <c r="Y227" s="258" t="s">
        <v>463</v>
      </c>
      <c r="Z227" s="259">
        <v>43011</v>
      </c>
      <c r="AA227" s="102"/>
      <c r="AB227" s="318"/>
      <c r="AC227" s="327"/>
      <c r="AD227" s="158"/>
      <c r="AE227" s="174"/>
      <c r="AF227" s="158" t="s">
        <v>1061</v>
      </c>
      <c r="AG227" s="158"/>
      <c r="AH227" s="158"/>
      <c r="AI227" s="158"/>
      <c r="AJ227" s="158"/>
      <c r="AK227" s="279"/>
    </row>
    <row r="228" spans="1:37" x14ac:dyDescent="0.2">
      <c r="A228" s="26" t="s">
        <v>1428</v>
      </c>
      <c r="B228" s="314"/>
      <c r="C228" s="15" t="s">
        <v>113</v>
      </c>
      <c r="D228" s="15"/>
      <c r="E228" s="15" t="s">
        <v>188</v>
      </c>
      <c r="F228" s="15" t="s">
        <v>967</v>
      </c>
      <c r="G228" s="315" t="s">
        <v>69</v>
      </c>
      <c r="H228" s="19"/>
      <c r="I228" s="19" t="s">
        <v>70</v>
      </c>
      <c r="J228" s="19" t="s">
        <v>1429</v>
      </c>
      <c r="K228" s="19" t="s">
        <v>1430</v>
      </c>
      <c r="L228" s="94"/>
      <c r="M228" s="94"/>
      <c r="N228" s="92" t="s">
        <v>734</v>
      </c>
      <c r="O228" s="24">
        <v>43024</v>
      </c>
      <c r="P228" s="92" t="s">
        <v>734</v>
      </c>
      <c r="Q228" s="24">
        <v>43025</v>
      </c>
      <c r="R228" s="92" t="s">
        <v>734</v>
      </c>
      <c r="S228" s="24">
        <v>43025</v>
      </c>
      <c r="T228" s="39"/>
      <c r="U228" s="40"/>
      <c r="V228" s="39"/>
      <c r="W228" s="39"/>
      <c r="X228" s="257" t="s">
        <v>991</v>
      </c>
      <c r="Y228" s="258" t="s">
        <v>463</v>
      </c>
      <c r="Z228" s="259">
        <v>43011</v>
      </c>
      <c r="AA228" s="102"/>
      <c r="AB228" s="318"/>
      <c r="AC228" s="327"/>
      <c r="AD228" s="158"/>
      <c r="AE228" s="174"/>
      <c r="AF228" s="158" t="s">
        <v>1061</v>
      </c>
      <c r="AG228" s="158"/>
      <c r="AH228" s="158"/>
      <c r="AI228" s="158"/>
      <c r="AJ228" s="158"/>
      <c r="AK228" s="279"/>
    </row>
    <row r="229" spans="1:37" x14ac:dyDescent="0.2">
      <c r="A229" s="26" t="s">
        <v>1431</v>
      </c>
      <c r="B229" s="314"/>
      <c r="C229" s="15" t="s">
        <v>113</v>
      </c>
      <c r="D229" s="15"/>
      <c r="E229" s="15" t="s">
        <v>188</v>
      </c>
      <c r="F229" s="15" t="s">
        <v>967</v>
      </c>
      <c r="G229" s="315" t="s">
        <v>283</v>
      </c>
      <c r="H229" s="19"/>
      <c r="I229" s="19" t="s">
        <v>310</v>
      </c>
      <c r="J229" s="19" t="s">
        <v>1432</v>
      </c>
      <c r="K229" s="19"/>
      <c r="L229" s="94"/>
      <c r="M229" s="94"/>
      <c r="N229" s="92" t="s">
        <v>734</v>
      </c>
      <c r="O229" s="24">
        <v>43011</v>
      </c>
      <c r="P229" s="92"/>
      <c r="Q229" s="24"/>
      <c r="R229" s="92"/>
      <c r="S229" s="24"/>
      <c r="T229" s="39"/>
      <c r="U229" s="40"/>
      <c r="V229" s="39"/>
      <c r="W229" s="39"/>
      <c r="X229" s="257" t="s">
        <v>991</v>
      </c>
      <c r="Y229" s="258" t="s">
        <v>463</v>
      </c>
      <c r="Z229" s="259">
        <v>43011</v>
      </c>
      <c r="AA229" s="102"/>
      <c r="AB229" s="318"/>
      <c r="AC229" s="327"/>
      <c r="AD229" s="158"/>
      <c r="AE229" s="174"/>
      <c r="AF229" s="158" t="s">
        <v>1061</v>
      </c>
      <c r="AG229" s="158"/>
      <c r="AH229" s="158"/>
      <c r="AI229" s="158"/>
      <c r="AJ229" s="158"/>
      <c r="AK229" s="279"/>
    </row>
    <row r="230" spans="1:37" x14ac:dyDescent="0.2">
      <c r="A230" s="26" t="s">
        <v>1402</v>
      </c>
      <c r="B230" s="314"/>
      <c r="C230" s="15" t="s">
        <v>113</v>
      </c>
      <c r="D230" s="15"/>
      <c r="E230" s="15" t="s">
        <v>188</v>
      </c>
      <c r="F230" s="15" t="s">
        <v>967</v>
      </c>
      <c r="G230" s="315" t="s">
        <v>69</v>
      </c>
      <c r="H230" s="19"/>
      <c r="I230" s="19" t="s">
        <v>1403</v>
      </c>
      <c r="J230" s="19" t="s">
        <v>1404</v>
      </c>
      <c r="K230" s="19" t="s">
        <v>1405</v>
      </c>
      <c r="L230" s="94"/>
      <c r="M230" s="94"/>
      <c r="N230" s="22" t="s">
        <v>734</v>
      </c>
      <c r="O230" s="23">
        <v>43021</v>
      </c>
      <c r="P230" s="92" t="s">
        <v>734</v>
      </c>
      <c r="Q230" s="24">
        <v>42998</v>
      </c>
      <c r="R230" s="92" t="s">
        <v>734</v>
      </c>
      <c r="S230" s="24">
        <v>43005</v>
      </c>
      <c r="T230" s="39"/>
      <c r="U230" s="40"/>
      <c r="V230" s="39"/>
      <c r="W230" s="39"/>
      <c r="X230" s="257" t="s">
        <v>991</v>
      </c>
      <c r="Y230" s="258" t="s">
        <v>463</v>
      </c>
      <c r="Z230" s="259">
        <v>43005</v>
      </c>
      <c r="AA230" s="102"/>
      <c r="AB230" s="318"/>
      <c r="AC230" s="327"/>
      <c r="AD230" s="158"/>
      <c r="AE230" s="174"/>
      <c r="AF230" s="158" t="s">
        <v>1061</v>
      </c>
      <c r="AG230" s="158"/>
      <c r="AH230" s="158"/>
      <c r="AI230" s="158"/>
      <c r="AJ230" s="158"/>
      <c r="AK230" s="279"/>
    </row>
    <row r="231" spans="1:37" x14ac:dyDescent="0.2">
      <c r="A231" s="37" t="s">
        <v>14</v>
      </c>
      <c r="B231" s="10"/>
      <c r="C231" s="7" t="s">
        <v>114</v>
      </c>
      <c r="D231" s="10"/>
      <c r="E231" s="10" t="s">
        <v>182</v>
      </c>
      <c r="F231" s="10" t="s">
        <v>959</v>
      </c>
      <c r="G231" s="7" t="s">
        <v>56</v>
      </c>
      <c r="H231" s="7"/>
      <c r="I231" s="312" t="s">
        <v>170</v>
      </c>
      <c r="J231" s="7" t="s">
        <v>64</v>
      </c>
      <c r="K231" s="7" t="s">
        <v>84</v>
      </c>
      <c r="L231" s="93">
        <v>185</v>
      </c>
      <c r="M231" s="93"/>
      <c r="N231" s="20" t="s">
        <v>792</v>
      </c>
      <c r="O231" s="21">
        <v>41978</v>
      </c>
      <c r="P231" s="20" t="s">
        <v>792</v>
      </c>
      <c r="Q231" s="21">
        <v>42895</v>
      </c>
      <c r="R231" s="20" t="s">
        <v>792</v>
      </c>
      <c r="S231" s="21">
        <v>42867</v>
      </c>
      <c r="T231" s="20" t="s">
        <v>792</v>
      </c>
      <c r="U231" s="21">
        <v>42895</v>
      </c>
      <c r="V231" s="20" t="s">
        <v>792</v>
      </c>
      <c r="W231" s="21">
        <v>42895</v>
      </c>
      <c r="X231" s="89" t="s">
        <v>989</v>
      </c>
      <c r="Y231" s="89" t="s">
        <v>13</v>
      </c>
      <c r="Z231" s="90">
        <v>40877</v>
      </c>
      <c r="AA231" s="38" t="s">
        <v>791</v>
      </c>
      <c r="AB231" s="318">
        <v>42677</v>
      </c>
      <c r="AC231" s="320">
        <v>42978</v>
      </c>
      <c r="AD231" s="158" t="s">
        <v>1061</v>
      </c>
      <c r="AE231" s="158" t="s">
        <v>1262</v>
      </c>
      <c r="AF231" s="158" t="s">
        <v>1061</v>
      </c>
      <c r="AG231" s="158" t="s">
        <v>998</v>
      </c>
      <c r="AH231" s="158" t="s">
        <v>1061</v>
      </c>
      <c r="AI231" s="158" t="s">
        <v>998</v>
      </c>
      <c r="AJ231" s="158" t="s">
        <v>1061</v>
      </c>
      <c r="AK231" s="279" t="s">
        <v>998</v>
      </c>
    </row>
    <row r="232" spans="1:37" x14ac:dyDescent="0.2">
      <c r="A232" s="37" t="s">
        <v>1300</v>
      </c>
      <c r="B232" s="10"/>
      <c r="C232" s="7" t="s">
        <v>113</v>
      </c>
      <c r="D232" s="10"/>
      <c r="E232" s="10" t="s">
        <v>1297</v>
      </c>
      <c r="F232" s="10" t="s">
        <v>968</v>
      </c>
      <c r="G232" s="7" t="s">
        <v>56</v>
      </c>
      <c r="H232" s="7"/>
      <c r="I232" s="312" t="s">
        <v>172</v>
      </c>
      <c r="J232" s="7" t="s">
        <v>1295</v>
      </c>
      <c r="K232" s="7" t="s">
        <v>1296</v>
      </c>
      <c r="L232" s="93">
        <v>18</v>
      </c>
      <c r="M232" s="93"/>
      <c r="N232" s="20" t="s">
        <v>1298</v>
      </c>
      <c r="O232" s="21">
        <v>42775</v>
      </c>
      <c r="P232" s="20" t="s">
        <v>1298</v>
      </c>
      <c r="Q232" s="21">
        <v>42888</v>
      </c>
      <c r="R232" s="20" t="s">
        <v>1298</v>
      </c>
      <c r="S232" s="21">
        <v>42892</v>
      </c>
      <c r="T232" s="10"/>
      <c r="U232" s="38"/>
      <c r="V232" s="10"/>
      <c r="W232" s="38"/>
      <c r="X232" s="89" t="s">
        <v>989</v>
      </c>
      <c r="Y232" s="89" t="s">
        <v>1361</v>
      </c>
      <c r="Z232" s="90">
        <v>42901</v>
      </c>
      <c r="AA232" s="19" t="s">
        <v>1299</v>
      </c>
      <c r="AB232" s="318">
        <v>42831</v>
      </c>
      <c r="AC232" s="319"/>
      <c r="AD232" s="158"/>
      <c r="AE232" s="158"/>
      <c r="AF232" s="244" t="s">
        <v>998</v>
      </c>
      <c r="AG232" s="158" t="s">
        <v>1061</v>
      </c>
      <c r="AH232" s="158"/>
      <c r="AI232" s="158"/>
      <c r="AJ232" s="158" t="s">
        <v>1061</v>
      </c>
      <c r="AK232" s="279" t="s">
        <v>998</v>
      </c>
    </row>
    <row r="233" spans="1:37" s="278" customFormat="1" x14ac:dyDescent="0.2">
      <c r="A233" s="308" t="s">
        <v>163</v>
      </c>
      <c r="B233" s="280" t="s">
        <v>1192</v>
      </c>
      <c r="C233" s="280" t="s">
        <v>113</v>
      </c>
      <c r="D233" s="280"/>
      <c r="E233" s="280" t="s">
        <v>227</v>
      </c>
      <c r="F233" s="280" t="s">
        <v>960</v>
      </c>
      <c r="G233" s="282" t="s">
        <v>56</v>
      </c>
      <c r="H233" s="280"/>
      <c r="I233" s="282" t="s">
        <v>165</v>
      </c>
      <c r="J233" s="282" t="s">
        <v>539</v>
      </c>
      <c r="K233" s="282" t="s">
        <v>540</v>
      </c>
      <c r="L233" s="282">
        <v>30</v>
      </c>
      <c r="M233" s="282"/>
      <c r="N233" s="283" t="s">
        <v>599</v>
      </c>
      <c r="O233" s="284">
        <v>41652</v>
      </c>
      <c r="P233" s="282" t="s">
        <v>599</v>
      </c>
      <c r="Q233" s="285">
        <v>41792</v>
      </c>
      <c r="R233" s="282" t="s">
        <v>599</v>
      </c>
      <c r="S233" s="285">
        <v>41695</v>
      </c>
      <c r="T233" s="282"/>
      <c r="U233" s="282"/>
      <c r="V233" s="282"/>
      <c r="W233" s="282"/>
      <c r="X233" s="282" t="s">
        <v>988</v>
      </c>
      <c r="Y233" s="286" t="s">
        <v>840</v>
      </c>
      <c r="Z233" s="285">
        <v>41929</v>
      </c>
      <c r="AA233" s="282" t="s">
        <v>1022</v>
      </c>
      <c r="AB233" s="324"/>
      <c r="AC233" s="323">
        <v>42283</v>
      </c>
      <c r="AD233" s="268" t="s">
        <v>1061</v>
      </c>
      <c r="AE233" s="269" t="s">
        <v>998</v>
      </c>
      <c r="AF233" s="268" t="s">
        <v>998</v>
      </c>
      <c r="AG233" s="268"/>
      <c r="AH233" s="268"/>
      <c r="AI233" s="268"/>
      <c r="AJ233" s="268"/>
      <c r="AK233" s="287"/>
    </row>
    <row r="234" spans="1:37" x14ac:dyDescent="0.2">
      <c r="A234" s="37" t="s">
        <v>3</v>
      </c>
      <c r="B234" s="10"/>
      <c r="C234" s="7" t="s">
        <v>112</v>
      </c>
      <c r="D234" s="10"/>
      <c r="E234" s="10" t="s">
        <v>182</v>
      </c>
      <c r="F234" s="10" t="s">
        <v>959</v>
      </c>
      <c r="G234" s="7" t="s">
        <v>66</v>
      </c>
      <c r="H234" s="7" t="s">
        <v>67</v>
      </c>
      <c r="I234" s="312"/>
      <c r="J234" s="7"/>
      <c r="K234" s="7" t="s">
        <v>68</v>
      </c>
      <c r="L234" s="93">
        <v>115</v>
      </c>
      <c r="M234" s="93"/>
      <c r="N234" s="20" t="s">
        <v>697</v>
      </c>
      <c r="O234" s="21">
        <v>42648</v>
      </c>
      <c r="P234" s="20" t="s">
        <v>697</v>
      </c>
      <c r="Q234" s="21">
        <v>42143</v>
      </c>
      <c r="R234" s="20" t="s">
        <v>697</v>
      </c>
      <c r="S234" s="21">
        <v>42468</v>
      </c>
      <c r="T234" s="20" t="s">
        <v>697</v>
      </c>
      <c r="U234" s="21">
        <v>42061</v>
      </c>
      <c r="V234" s="7"/>
      <c r="W234" s="7"/>
      <c r="X234" s="89" t="s">
        <v>989</v>
      </c>
      <c r="Y234" s="89" t="s">
        <v>2</v>
      </c>
      <c r="Z234" s="90">
        <v>40882</v>
      </c>
      <c r="AA234" s="38" t="s">
        <v>698</v>
      </c>
      <c r="AB234" s="318">
        <v>42907</v>
      </c>
      <c r="AC234" s="320">
        <v>42325</v>
      </c>
      <c r="AD234" s="158" t="s">
        <v>1061</v>
      </c>
      <c r="AE234" s="158"/>
      <c r="AF234" s="244" t="s">
        <v>998</v>
      </c>
      <c r="AG234" s="158" t="s">
        <v>1061</v>
      </c>
      <c r="AH234" s="158"/>
      <c r="AI234" s="158" t="s">
        <v>998</v>
      </c>
      <c r="AJ234" s="158" t="s">
        <v>1061</v>
      </c>
      <c r="AK234" s="279"/>
    </row>
    <row r="235" spans="1:37" x14ac:dyDescent="0.2">
      <c r="A235" s="37" t="s">
        <v>263</v>
      </c>
      <c r="B235" s="10"/>
      <c r="C235" s="10" t="s">
        <v>113</v>
      </c>
      <c r="D235" s="10"/>
      <c r="E235" s="10" t="s">
        <v>193</v>
      </c>
      <c r="F235" s="8" t="s">
        <v>973</v>
      </c>
      <c r="G235" s="7" t="s">
        <v>75</v>
      </c>
      <c r="H235" s="7"/>
      <c r="I235" s="312" t="s">
        <v>264</v>
      </c>
      <c r="J235" s="7" t="s">
        <v>264</v>
      </c>
      <c r="K235" s="7" t="s">
        <v>265</v>
      </c>
      <c r="L235" s="93">
        <v>109</v>
      </c>
      <c r="M235" s="93"/>
      <c r="N235" s="20" t="s">
        <v>1113</v>
      </c>
      <c r="O235" s="21">
        <v>42529</v>
      </c>
      <c r="P235" s="20" t="s">
        <v>1113</v>
      </c>
      <c r="Q235" s="21">
        <v>42802</v>
      </c>
      <c r="R235" s="150" t="s">
        <v>370</v>
      </c>
      <c r="S235" s="151">
        <v>40801</v>
      </c>
      <c r="T235" s="7"/>
      <c r="U235" s="7"/>
      <c r="V235" s="7"/>
      <c r="W235" s="7"/>
      <c r="X235" s="89" t="s">
        <v>989</v>
      </c>
      <c r="Y235" s="100" t="s">
        <v>722</v>
      </c>
      <c r="Z235" s="90">
        <v>41918</v>
      </c>
      <c r="AA235" s="38" t="s">
        <v>1021</v>
      </c>
      <c r="AB235" s="318">
        <v>42508</v>
      </c>
      <c r="AC235" s="320">
        <v>42817</v>
      </c>
      <c r="AD235" s="158"/>
      <c r="AE235" s="158" t="s">
        <v>1262</v>
      </c>
      <c r="AF235" s="158" t="s">
        <v>1061</v>
      </c>
      <c r="AG235" s="158"/>
      <c r="AH235" s="158"/>
      <c r="AI235" s="158" t="s">
        <v>1061</v>
      </c>
      <c r="AJ235" s="158" t="s">
        <v>998</v>
      </c>
      <c r="AK235" s="279"/>
    </row>
    <row r="236" spans="1:37" x14ac:dyDescent="0.2">
      <c r="A236" s="249" t="s">
        <v>243</v>
      </c>
      <c r="B236" s="39"/>
      <c r="C236" s="19" t="s">
        <v>113</v>
      </c>
      <c r="D236" s="39" t="s">
        <v>977</v>
      </c>
      <c r="E236" s="39" t="s">
        <v>184</v>
      </c>
      <c r="F236" s="39" t="s">
        <v>959</v>
      </c>
      <c r="G236" s="19" t="s">
        <v>61</v>
      </c>
      <c r="H236" s="19" t="s">
        <v>235</v>
      </c>
      <c r="I236" s="19"/>
      <c r="J236" s="19"/>
      <c r="K236" s="19" t="s">
        <v>246</v>
      </c>
      <c r="L236" s="94">
        <v>0</v>
      </c>
      <c r="M236" s="94"/>
      <c r="N236" s="22" t="s">
        <v>1165</v>
      </c>
      <c r="O236" s="23">
        <v>42842</v>
      </c>
      <c r="P236" s="22" t="s">
        <v>424</v>
      </c>
      <c r="Q236" s="23">
        <v>41180</v>
      </c>
      <c r="R236" s="150" t="s">
        <v>424</v>
      </c>
      <c r="S236" s="151">
        <v>40798</v>
      </c>
      <c r="T236" s="19"/>
      <c r="U236" s="19"/>
      <c r="V236" s="19"/>
      <c r="W236" s="19"/>
      <c r="X236" s="130" t="s">
        <v>987</v>
      </c>
      <c r="Y236" s="135" t="s">
        <v>369</v>
      </c>
      <c r="Z236" s="136">
        <v>39812</v>
      </c>
      <c r="AA236" s="39" t="s">
        <v>835</v>
      </c>
      <c r="AB236" s="318">
        <v>43025</v>
      </c>
      <c r="AC236" s="320">
        <v>41724</v>
      </c>
      <c r="AD236" s="158" t="s">
        <v>1061</v>
      </c>
      <c r="AE236" s="158"/>
      <c r="AF236" s="244" t="s">
        <v>998</v>
      </c>
      <c r="AG236" s="158"/>
      <c r="AH236" s="158" t="s">
        <v>1061</v>
      </c>
      <c r="AI236" s="158"/>
      <c r="AJ236" s="158"/>
      <c r="AK236" s="279" t="s">
        <v>998</v>
      </c>
    </row>
    <row r="237" spans="1:37" s="35" customFormat="1" x14ac:dyDescent="0.2">
      <c r="A237" s="26" t="s">
        <v>215</v>
      </c>
      <c r="B237" s="314"/>
      <c r="C237" s="15" t="s">
        <v>114</v>
      </c>
      <c r="D237" s="15" t="s">
        <v>977</v>
      </c>
      <c r="E237" s="15" t="s">
        <v>184</v>
      </c>
      <c r="F237" s="15" t="s">
        <v>963</v>
      </c>
      <c r="G237" s="314" t="s">
        <v>61</v>
      </c>
      <c r="H237" s="19" t="s">
        <v>235</v>
      </c>
      <c r="I237" s="19"/>
      <c r="J237" s="19"/>
      <c r="K237" s="19" t="s">
        <v>242</v>
      </c>
      <c r="L237" s="94">
        <v>104</v>
      </c>
      <c r="M237" s="94"/>
      <c r="N237" s="22" t="s">
        <v>920</v>
      </c>
      <c r="O237" s="23">
        <v>42200</v>
      </c>
      <c r="P237" s="22" t="s">
        <v>920</v>
      </c>
      <c r="Q237" s="23">
        <v>42506</v>
      </c>
      <c r="R237" s="21" t="s">
        <v>920</v>
      </c>
      <c r="S237" s="21">
        <v>43031</v>
      </c>
      <c r="T237" s="22" t="s">
        <v>920</v>
      </c>
      <c r="U237" s="23">
        <v>42506</v>
      </c>
      <c r="V237" s="22" t="s">
        <v>920</v>
      </c>
      <c r="W237" s="23">
        <v>42506</v>
      </c>
      <c r="X237" s="130" t="s">
        <v>987</v>
      </c>
      <c r="Y237" s="132" t="s">
        <v>216</v>
      </c>
      <c r="Z237" s="134">
        <v>39813</v>
      </c>
      <c r="AA237" s="103" t="s">
        <v>919</v>
      </c>
      <c r="AB237" s="318">
        <v>42173</v>
      </c>
      <c r="AC237" s="320">
        <v>42905</v>
      </c>
      <c r="AD237" s="158" t="s">
        <v>1060</v>
      </c>
      <c r="AE237" s="174" t="s">
        <v>1061</v>
      </c>
      <c r="AF237" s="158" t="s">
        <v>1061</v>
      </c>
      <c r="AG237" s="158" t="s">
        <v>998</v>
      </c>
      <c r="AH237" s="158" t="s">
        <v>1061</v>
      </c>
      <c r="AI237" s="158" t="s">
        <v>998</v>
      </c>
      <c r="AJ237" s="158" t="s">
        <v>1061</v>
      </c>
      <c r="AK237" s="279" t="s">
        <v>998</v>
      </c>
    </row>
    <row r="238" spans="1:37" s="35" customFormat="1" x14ac:dyDescent="0.2">
      <c r="A238" s="26" t="s">
        <v>1096</v>
      </c>
      <c r="B238" s="314"/>
      <c r="C238" s="15" t="s">
        <v>113</v>
      </c>
      <c r="D238" s="15"/>
      <c r="E238" s="15" t="s">
        <v>228</v>
      </c>
      <c r="F238" s="15" t="s">
        <v>966</v>
      </c>
      <c r="G238" s="314" t="s">
        <v>75</v>
      </c>
      <c r="H238" s="19"/>
      <c r="I238" s="19" t="s">
        <v>229</v>
      </c>
      <c r="J238" s="19" t="s">
        <v>230</v>
      </c>
      <c r="K238" s="19" t="s">
        <v>231</v>
      </c>
      <c r="L238" s="94">
        <v>171</v>
      </c>
      <c r="M238" s="94"/>
      <c r="N238" s="22" t="s">
        <v>1097</v>
      </c>
      <c r="O238" s="23">
        <v>42451</v>
      </c>
      <c r="P238" s="22" t="s">
        <v>1097</v>
      </c>
      <c r="Q238" s="23">
        <v>42705</v>
      </c>
      <c r="R238" s="22" t="s">
        <v>1097</v>
      </c>
      <c r="S238" s="23">
        <v>42725</v>
      </c>
      <c r="T238" s="39"/>
      <c r="U238" s="39"/>
      <c r="V238" s="39"/>
      <c r="W238" s="40"/>
      <c r="X238" s="156" t="s">
        <v>988</v>
      </c>
      <c r="Y238" s="138" t="s">
        <v>1290</v>
      </c>
      <c r="Z238" s="176">
        <v>42733</v>
      </c>
      <c r="AA238" s="103" t="s">
        <v>1098</v>
      </c>
      <c r="AB238" s="328">
        <v>43042</v>
      </c>
      <c r="AC238" s="327"/>
      <c r="AD238" s="158"/>
      <c r="AE238" s="158"/>
      <c r="AF238" s="158" t="s">
        <v>998</v>
      </c>
      <c r="AG238" s="158" t="s">
        <v>1061</v>
      </c>
      <c r="AH238" s="158"/>
      <c r="AI238" s="158"/>
      <c r="AJ238" s="158" t="s">
        <v>1061</v>
      </c>
      <c r="AK238" s="279" t="s">
        <v>998</v>
      </c>
    </row>
    <row r="239" spans="1:37" x14ac:dyDescent="0.2">
      <c r="A239" s="37" t="s">
        <v>189</v>
      </c>
      <c r="B239" s="10"/>
      <c r="C239" s="7" t="s">
        <v>114</v>
      </c>
      <c r="D239" s="10"/>
      <c r="E239" s="10" t="s">
        <v>182</v>
      </c>
      <c r="F239" s="10" t="s">
        <v>959</v>
      </c>
      <c r="G239" s="7" t="s">
        <v>56</v>
      </c>
      <c r="H239" s="7"/>
      <c r="I239" s="312" t="s">
        <v>170</v>
      </c>
      <c r="J239" s="7" t="s">
        <v>64</v>
      </c>
      <c r="K239" s="7" t="s">
        <v>87</v>
      </c>
      <c r="L239" s="93">
        <v>160</v>
      </c>
      <c r="M239" s="93"/>
      <c r="N239" s="20" t="s">
        <v>487</v>
      </c>
      <c r="O239" s="21">
        <v>42505</v>
      </c>
      <c r="P239" s="20" t="s">
        <v>487</v>
      </c>
      <c r="Q239" s="21">
        <v>41677</v>
      </c>
      <c r="R239" s="20" t="s">
        <v>487</v>
      </c>
      <c r="S239" s="21">
        <v>42234</v>
      </c>
      <c r="T239" s="20" t="s">
        <v>487</v>
      </c>
      <c r="U239" s="21">
        <v>42591</v>
      </c>
      <c r="V239" s="20" t="s">
        <v>487</v>
      </c>
      <c r="W239" s="21">
        <v>42591</v>
      </c>
      <c r="X239" s="89" t="s">
        <v>989</v>
      </c>
      <c r="Y239" s="89" t="s">
        <v>17</v>
      </c>
      <c r="Z239" s="90">
        <v>40875</v>
      </c>
      <c r="AA239" s="38" t="s">
        <v>780</v>
      </c>
      <c r="AB239" s="318">
        <v>42873</v>
      </c>
      <c r="AC239" s="320">
        <v>42194</v>
      </c>
      <c r="AD239" s="158" t="s">
        <v>1060</v>
      </c>
      <c r="AE239" s="174" t="s">
        <v>1061</v>
      </c>
      <c r="AF239" s="244" t="s">
        <v>998</v>
      </c>
      <c r="AG239" s="158" t="s">
        <v>1061</v>
      </c>
      <c r="AH239" s="158" t="s">
        <v>998</v>
      </c>
      <c r="AI239" s="158" t="s">
        <v>1061</v>
      </c>
      <c r="AJ239" s="158" t="s">
        <v>998</v>
      </c>
      <c r="AK239" s="279" t="s">
        <v>1061</v>
      </c>
    </row>
    <row r="240" spans="1:37" x14ac:dyDescent="0.2">
      <c r="A240" s="37" t="s">
        <v>190</v>
      </c>
      <c r="B240" s="10"/>
      <c r="C240" s="7" t="s">
        <v>114</v>
      </c>
      <c r="D240" s="10"/>
      <c r="E240" s="10" t="s">
        <v>182</v>
      </c>
      <c r="F240" s="10" t="s">
        <v>959</v>
      </c>
      <c r="G240" s="7" t="s">
        <v>56</v>
      </c>
      <c r="H240" s="7"/>
      <c r="I240" s="312" t="s">
        <v>170</v>
      </c>
      <c r="J240" s="7" t="s">
        <v>64</v>
      </c>
      <c r="K240" s="7" t="s">
        <v>65</v>
      </c>
      <c r="L240" s="93">
        <v>163</v>
      </c>
      <c r="M240" s="93"/>
      <c r="N240" s="20" t="s">
        <v>487</v>
      </c>
      <c r="O240" s="21">
        <v>42466</v>
      </c>
      <c r="P240" s="20" t="s">
        <v>487</v>
      </c>
      <c r="Q240" s="21">
        <v>42551</v>
      </c>
      <c r="R240" s="20" t="s">
        <v>487</v>
      </c>
      <c r="S240" s="21">
        <v>42234</v>
      </c>
      <c r="T240" s="20" t="s">
        <v>487</v>
      </c>
      <c r="U240" s="21">
        <v>42551</v>
      </c>
      <c r="V240" s="20" t="s">
        <v>487</v>
      </c>
      <c r="W240" s="21">
        <v>42551</v>
      </c>
      <c r="X240" s="89" t="s">
        <v>989</v>
      </c>
      <c r="Y240" s="89" t="s">
        <v>1</v>
      </c>
      <c r="Z240" s="90">
        <v>40892</v>
      </c>
      <c r="AA240" s="38" t="s">
        <v>780</v>
      </c>
      <c r="AB240" s="318">
        <v>42038</v>
      </c>
      <c r="AC240" s="320">
        <v>42194</v>
      </c>
      <c r="AD240" s="158" t="s">
        <v>1060</v>
      </c>
      <c r="AE240" s="174" t="s">
        <v>1061</v>
      </c>
      <c r="AF240" s="158" t="s">
        <v>998</v>
      </c>
      <c r="AG240" s="158" t="s">
        <v>1061</v>
      </c>
      <c r="AH240" s="158" t="s">
        <v>998</v>
      </c>
      <c r="AI240" s="158" t="s">
        <v>1061</v>
      </c>
      <c r="AJ240" s="158" t="s">
        <v>998</v>
      </c>
      <c r="AK240" s="279" t="s">
        <v>1061</v>
      </c>
    </row>
    <row r="241" spans="1:37" x14ac:dyDescent="0.2">
      <c r="A241" s="37" t="s">
        <v>192</v>
      </c>
      <c r="B241" s="10" t="s">
        <v>1271</v>
      </c>
      <c r="C241" s="7" t="s">
        <v>114</v>
      </c>
      <c r="D241" s="10"/>
      <c r="E241" s="10" t="s">
        <v>182</v>
      </c>
      <c r="F241" s="10" t="s">
        <v>959</v>
      </c>
      <c r="G241" s="7" t="s">
        <v>56</v>
      </c>
      <c r="H241" s="7" t="s">
        <v>57</v>
      </c>
      <c r="I241" s="312"/>
      <c r="J241" s="7"/>
      <c r="K241" s="7" t="s">
        <v>86</v>
      </c>
      <c r="L241" s="93">
        <v>162</v>
      </c>
      <c r="M241" s="93"/>
      <c r="N241" s="20" t="s">
        <v>487</v>
      </c>
      <c r="O241" s="21">
        <v>42339</v>
      </c>
      <c r="P241" s="20" t="s">
        <v>487</v>
      </c>
      <c r="Q241" s="21">
        <v>42541</v>
      </c>
      <c r="R241" s="20" t="s">
        <v>487</v>
      </c>
      <c r="S241" s="21">
        <v>43011</v>
      </c>
      <c r="T241" s="20" t="s">
        <v>487</v>
      </c>
      <c r="U241" s="21">
        <v>42541</v>
      </c>
      <c r="V241" s="20" t="s">
        <v>487</v>
      </c>
      <c r="W241" s="21">
        <v>42541</v>
      </c>
      <c r="X241" s="89" t="s">
        <v>989</v>
      </c>
      <c r="Y241" s="89" t="s">
        <v>16</v>
      </c>
      <c r="Z241" s="90">
        <v>40875</v>
      </c>
      <c r="AA241" s="19" t="s">
        <v>780</v>
      </c>
      <c r="AB241" s="318">
        <v>41752</v>
      </c>
      <c r="AC241" s="320">
        <v>42242</v>
      </c>
      <c r="AD241" s="158" t="s">
        <v>1061</v>
      </c>
      <c r="AE241" s="174" t="s">
        <v>1061</v>
      </c>
      <c r="AF241" s="158" t="s">
        <v>998</v>
      </c>
      <c r="AG241" s="158" t="s">
        <v>1061</v>
      </c>
      <c r="AH241" s="158" t="s">
        <v>998</v>
      </c>
      <c r="AI241" s="158" t="s">
        <v>1061</v>
      </c>
      <c r="AJ241" s="158" t="s">
        <v>998</v>
      </c>
      <c r="AK241" s="279" t="s">
        <v>1061</v>
      </c>
    </row>
    <row r="242" spans="1:37" x14ac:dyDescent="0.2">
      <c r="A242" s="37" t="s">
        <v>191</v>
      </c>
      <c r="B242" s="10"/>
      <c r="C242" s="7" t="s">
        <v>114</v>
      </c>
      <c r="D242" s="10"/>
      <c r="E242" s="10" t="s">
        <v>182</v>
      </c>
      <c r="F242" s="10" t="s">
        <v>959</v>
      </c>
      <c r="G242" s="7" t="s">
        <v>56</v>
      </c>
      <c r="H242" s="7" t="s">
        <v>57</v>
      </c>
      <c r="I242" s="312"/>
      <c r="J242" s="7"/>
      <c r="K242" s="7" t="s">
        <v>85</v>
      </c>
      <c r="L242" s="93">
        <v>161</v>
      </c>
      <c r="M242" s="93"/>
      <c r="N242" s="22" t="s">
        <v>487</v>
      </c>
      <c r="O242" s="21">
        <v>41793</v>
      </c>
      <c r="P242" s="20" t="s">
        <v>487</v>
      </c>
      <c r="Q242" s="21">
        <v>42538</v>
      </c>
      <c r="R242" s="20" t="s">
        <v>487</v>
      </c>
      <c r="S242" s="21">
        <v>41971</v>
      </c>
      <c r="T242" s="20" t="s">
        <v>487</v>
      </c>
      <c r="U242" s="21">
        <v>42538</v>
      </c>
      <c r="V242" s="20" t="s">
        <v>487</v>
      </c>
      <c r="W242" s="21">
        <v>42538</v>
      </c>
      <c r="X242" s="89" t="s">
        <v>989</v>
      </c>
      <c r="Y242" s="89" t="s">
        <v>15</v>
      </c>
      <c r="Z242" s="90">
        <v>40875</v>
      </c>
      <c r="AA242" s="38" t="s">
        <v>780</v>
      </c>
      <c r="AB242" s="318">
        <v>41752</v>
      </c>
      <c r="AC242" s="320">
        <v>42242</v>
      </c>
      <c r="AD242" s="158" t="s">
        <v>1061</v>
      </c>
      <c r="AE242" s="174" t="s">
        <v>1061</v>
      </c>
      <c r="AF242" s="158" t="s">
        <v>998</v>
      </c>
      <c r="AG242" s="158" t="s">
        <v>1061</v>
      </c>
      <c r="AH242" s="158" t="s">
        <v>998</v>
      </c>
      <c r="AI242" s="158" t="s">
        <v>1061</v>
      </c>
      <c r="AJ242" s="158" t="s">
        <v>998</v>
      </c>
      <c r="AK242" s="279" t="s">
        <v>1061</v>
      </c>
    </row>
    <row r="243" spans="1:37" x14ac:dyDescent="0.2">
      <c r="A243" s="37" t="s">
        <v>446</v>
      </c>
      <c r="B243" s="10"/>
      <c r="C243" s="7" t="s">
        <v>113</v>
      </c>
      <c r="D243" s="10"/>
      <c r="E243" s="10" t="s">
        <v>193</v>
      </c>
      <c r="F243" s="8" t="s">
        <v>973</v>
      </c>
      <c r="G243" s="7" t="s">
        <v>260</v>
      </c>
      <c r="H243" s="7"/>
      <c r="I243" s="312" t="s">
        <v>343</v>
      </c>
      <c r="J243" s="7" t="s">
        <v>344</v>
      </c>
      <c r="K243" s="7" t="s">
        <v>193</v>
      </c>
      <c r="L243" s="93">
        <v>627</v>
      </c>
      <c r="M243" s="93"/>
      <c r="N243" s="20" t="s">
        <v>682</v>
      </c>
      <c r="O243" s="21">
        <v>42650</v>
      </c>
      <c r="P243" s="20" t="s">
        <v>682</v>
      </c>
      <c r="Q243" s="21">
        <v>42002</v>
      </c>
      <c r="R243" s="20" t="s">
        <v>682</v>
      </c>
      <c r="S243" s="21">
        <v>42096</v>
      </c>
      <c r="T243" s="7"/>
      <c r="U243" s="7"/>
      <c r="V243" s="7"/>
      <c r="W243" s="7"/>
      <c r="X243" s="89" t="s">
        <v>989</v>
      </c>
      <c r="Y243" s="100" t="s">
        <v>904</v>
      </c>
      <c r="Z243" s="90">
        <v>42137</v>
      </c>
      <c r="AA243" s="38" t="s">
        <v>681</v>
      </c>
      <c r="AB243" s="318">
        <v>41892</v>
      </c>
      <c r="AC243" s="320">
        <v>42270</v>
      </c>
      <c r="AD243" s="158"/>
      <c r="AE243" s="158"/>
      <c r="AF243" s="158"/>
      <c r="AG243" s="158" t="s">
        <v>998</v>
      </c>
      <c r="AH243" s="158" t="s">
        <v>1061</v>
      </c>
      <c r="AI243" s="158"/>
      <c r="AJ243" s="158"/>
      <c r="AK243" s="279" t="s">
        <v>1061</v>
      </c>
    </row>
    <row r="244" spans="1:37" ht="25.5" x14ac:dyDescent="0.2">
      <c r="A244" s="249" t="s">
        <v>345</v>
      </c>
      <c r="B244" s="39" t="s">
        <v>1444</v>
      </c>
      <c r="C244" s="19" t="s">
        <v>113</v>
      </c>
      <c r="D244" s="39"/>
      <c r="E244" s="39" t="s">
        <v>188</v>
      </c>
      <c r="F244" s="39" t="s">
        <v>967</v>
      </c>
      <c r="G244" s="19" t="s">
        <v>346</v>
      </c>
      <c r="H244" s="19"/>
      <c r="I244" s="19" t="s">
        <v>347</v>
      </c>
      <c r="J244" s="19" t="s">
        <v>348</v>
      </c>
      <c r="K244" s="19" t="s">
        <v>349</v>
      </c>
      <c r="L244" s="94">
        <v>400</v>
      </c>
      <c r="M244" s="94"/>
      <c r="N244" s="20" t="s">
        <v>1239</v>
      </c>
      <c r="O244" s="21">
        <v>42669</v>
      </c>
      <c r="P244" s="22" t="s">
        <v>427</v>
      </c>
      <c r="Q244" s="23">
        <v>41213</v>
      </c>
      <c r="R244" s="150" t="s">
        <v>427</v>
      </c>
      <c r="S244" s="151">
        <v>41291</v>
      </c>
      <c r="T244" s="19"/>
      <c r="U244" s="19"/>
      <c r="V244" s="19"/>
      <c r="W244" s="19"/>
      <c r="X244" s="89" t="s">
        <v>989</v>
      </c>
      <c r="Y244" s="304" t="s">
        <v>1438</v>
      </c>
      <c r="Z244" s="90">
        <v>41991</v>
      </c>
      <c r="AA244" s="39" t="s">
        <v>1020</v>
      </c>
      <c r="AB244" s="318">
        <v>41529</v>
      </c>
      <c r="AC244" s="320">
        <v>42270</v>
      </c>
      <c r="AD244" s="158" t="s">
        <v>1061</v>
      </c>
      <c r="AE244" s="158"/>
      <c r="AF244" s="158"/>
      <c r="AG244" s="158" t="s">
        <v>998</v>
      </c>
      <c r="AH244" s="158"/>
      <c r="AI244" s="158" t="s">
        <v>1061</v>
      </c>
      <c r="AJ244" s="158"/>
      <c r="AK244" s="279"/>
    </row>
    <row r="245" spans="1:37" s="274" customFormat="1" x14ac:dyDescent="0.2">
      <c r="A245" s="275"/>
      <c r="B245" s="270"/>
      <c r="C245" s="271"/>
      <c r="D245" s="272"/>
      <c r="E245" s="272"/>
      <c r="F245" s="272"/>
      <c r="G245" s="273"/>
      <c r="L245" s="271"/>
      <c r="M245" s="271"/>
      <c r="N245" s="271"/>
      <c r="O245" s="271"/>
      <c r="P245" s="271"/>
      <c r="Q245" s="271"/>
      <c r="R245" s="271"/>
      <c r="S245" s="271"/>
      <c r="T245" s="271"/>
      <c r="U245" s="271"/>
      <c r="V245" s="271"/>
      <c r="W245" s="271"/>
      <c r="X245" s="271"/>
      <c r="Y245" s="271"/>
      <c r="Z245" s="271"/>
      <c r="AA245" s="275"/>
      <c r="AB245" s="331"/>
      <c r="AC245" s="331"/>
      <c r="AD245" s="276"/>
      <c r="AE245" s="276"/>
      <c r="AF245" s="276"/>
      <c r="AG245" s="276"/>
      <c r="AH245" s="276"/>
      <c r="AI245" s="276"/>
      <c r="AJ245" s="276"/>
    </row>
    <row r="246" spans="1:37" x14ac:dyDescent="0.2">
      <c r="N246" s="1"/>
      <c r="O246" s="1"/>
      <c r="P246" s="1"/>
      <c r="Q246" s="1"/>
      <c r="R246" s="1"/>
      <c r="S246" s="1"/>
      <c r="X246" s="1"/>
      <c r="Y246" s="1"/>
      <c r="AC246" s="160" t="s">
        <v>1000</v>
      </c>
      <c r="AD246" s="157">
        <f t="shared" ref="AD246:AK246" si="0">COUNTIFS((AD8:AD244),"=TJA")</f>
        <v>11</v>
      </c>
      <c r="AE246" s="157">
        <f t="shared" si="0"/>
        <v>34</v>
      </c>
      <c r="AF246" s="157">
        <f t="shared" si="0"/>
        <v>34</v>
      </c>
      <c r="AG246" s="157">
        <f t="shared" si="0"/>
        <v>37</v>
      </c>
      <c r="AH246" s="157">
        <f t="shared" si="0"/>
        <v>34</v>
      </c>
      <c r="AI246" s="157">
        <f t="shared" si="0"/>
        <v>48</v>
      </c>
      <c r="AJ246" s="157">
        <f t="shared" si="0"/>
        <v>29</v>
      </c>
      <c r="AK246" s="157">
        <f t="shared" si="0"/>
        <v>43</v>
      </c>
    </row>
    <row r="247" spans="1:37" x14ac:dyDescent="0.2">
      <c r="AC247" s="160" t="s">
        <v>999</v>
      </c>
      <c r="AD247" s="157">
        <f t="shared" ref="AD247:AK247" si="1">COUNTIFS((AD8:AD244),"=TJA/PA")</f>
        <v>29</v>
      </c>
      <c r="AE247" s="157">
        <f t="shared" si="1"/>
        <v>12</v>
      </c>
      <c r="AF247" s="157">
        <f t="shared" si="1"/>
        <v>8</v>
      </c>
      <c r="AG247" s="157">
        <f t="shared" si="1"/>
        <v>2</v>
      </c>
      <c r="AH247" s="157">
        <f t="shared" si="1"/>
        <v>0</v>
      </c>
      <c r="AI247" s="157">
        <f t="shared" si="1"/>
        <v>5</v>
      </c>
      <c r="AJ247" s="157">
        <f t="shared" si="1"/>
        <v>3</v>
      </c>
      <c r="AK247" s="157">
        <f t="shared" si="1"/>
        <v>0</v>
      </c>
    </row>
    <row r="248" spans="1:37" x14ac:dyDescent="0.2">
      <c r="AC248" s="160" t="s">
        <v>1001</v>
      </c>
      <c r="AD248" s="157">
        <f t="shared" ref="AD248:AK248" si="2">COUNTIFS((AD8:AD244),"=PA")</f>
        <v>78</v>
      </c>
      <c r="AE248" s="157">
        <f t="shared" si="2"/>
        <v>60</v>
      </c>
      <c r="AF248" s="157">
        <f t="shared" si="2"/>
        <v>107</v>
      </c>
      <c r="AG248" s="157">
        <f t="shared" si="2"/>
        <v>78</v>
      </c>
      <c r="AH248" s="157">
        <f t="shared" si="2"/>
        <v>48</v>
      </c>
      <c r="AI248" s="157">
        <f t="shared" si="2"/>
        <v>58</v>
      </c>
      <c r="AJ248" s="157">
        <f t="shared" si="2"/>
        <v>60</v>
      </c>
      <c r="AK248" s="157">
        <f t="shared" si="2"/>
        <v>68</v>
      </c>
    </row>
    <row r="249" spans="1:37" x14ac:dyDescent="0.2">
      <c r="AK249" s="157"/>
    </row>
    <row r="250" spans="1:37" x14ac:dyDescent="0.2">
      <c r="AC250" s="162" t="s">
        <v>1071</v>
      </c>
      <c r="AD250" s="163">
        <f t="shared" ref="AD250:AJ251" si="3">AD246+AD247</f>
        <v>40</v>
      </c>
      <c r="AE250" s="163">
        <f t="shared" si="3"/>
        <v>46</v>
      </c>
      <c r="AF250" s="163">
        <f t="shared" si="3"/>
        <v>42</v>
      </c>
      <c r="AG250" s="163">
        <f t="shared" si="3"/>
        <v>39</v>
      </c>
      <c r="AH250" s="163">
        <f t="shared" si="3"/>
        <v>34</v>
      </c>
      <c r="AI250" s="163">
        <f t="shared" si="3"/>
        <v>53</v>
      </c>
      <c r="AJ250" s="163">
        <f t="shared" si="3"/>
        <v>32</v>
      </c>
      <c r="AK250" s="163">
        <f>AK246+AK247</f>
        <v>43</v>
      </c>
    </row>
    <row r="251" spans="1:37" x14ac:dyDescent="0.2">
      <c r="AC251" s="162" t="s">
        <v>1072</v>
      </c>
      <c r="AD251" s="163">
        <f t="shared" si="3"/>
        <v>107</v>
      </c>
      <c r="AE251" s="163">
        <f t="shared" si="3"/>
        <v>72</v>
      </c>
      <c r="AF251" s="163">
        <f t="shared" si="3"/>
        <v>115</v>
      </c>
      <c r="AG251" s="163">
        <f t="shared" si="3"/>
        <v>80</v>
      </c>
      <c r="AH251" s="163">
        <f t="shared" si="3"/>
        <v>48</v>
      </c>
      <c r="AI251" s="163">
        <f t="shared" si="3"/>
        <v>63</v>
      </c>
      <c r="AJ251" s="163">
        <f t="shared" si="3"/>
        <v>63</v>
      </c>
      <c r="AK251" s="163">
        <f t="shared" ref="AK251" si="4">AK247+AK248</f>
        <v>68</v>
      </c>
    </row>
  </sheetData>
  <sheetProtection autoFilter="0"/>
  <autoFilter ref="A7:AK244"/>
  <sortState ref="A2:AJ231">
    <sortCondition ref="A1"/>
  </sortState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K3"/>
  <sheetViews>
    <sheetView workbookViewId="0">
      <selection activeCell="B11" sqref="B11"/>
    </sheetView>
  </sheetViews>
  <sheetFormatPr defaultRowHeight="15" x14ac:dyDescent="0.25"/>
  <cols>
    <col min="1" max="1" width="14.28515625" bestFit="1" customWidth="1"/>
    <col min="2" max="2" width="25.140625" bestFit="1" customWidth="1"/>
    <col min="3" max="3" width="48.7109375" bestFit="1" customWidth="1"/>
    <col min="4" max="4" width="4.7109375" bestFit="1" customWidth="1"/>
    <col min="5" max="5" width="5.7109375" bestFit="1" customWidth="1"/>
    <col min="6" max="6" width="9.85546875" bestFit="1" customWidth="1"/>
    <col min="7" max="7" width="40.7109375" bestFit="1" customWidth="1"/>
    <col min="8" max="8" width="10.85546875" bestFit="1" customWidth="1"/>
    <col min="9" max="9" width="11" bestFit="1" customWidth="1"/>
    <col min="10" max="11" width="5.140625" bestFit="1" customWidth="1"/>
    <col min="12" max="12" width="9.85546875" bestFit="1" customWidth="1"/>
    <col min="13" max="13" width="4.140625" bestFit="1" customWidth="1"/>
    <col min="14" max="14" width="8" bestFit="1" customWidth="1"/>
    <col min="15" max="15" width="7.5703125" bestFit="1" customWidth="1"/>
    <col min="16" max="16" width="10.140625" bestFit="1" customWidth="1"/>
    <col min="17" max="17" width="7.5703125" bestFit="1" customWidth="1"/>
    <col min="18" max="18" width="10.140625" bestFit="1" customWidth="1"/>
    <col min="19" max="19" width="9.28515625" bestFit="1" customWidth="1"/>
    <col min="20" max="20" width="10.140625" bestFit="1" customWidth="1"/>
    <col min="21" max="21" width="8" bestFit="1" customWidth="1"/>
    <col min="22" max="22" width="7.5703125" bestFit="1" customWidth="1"/>
    <col min="23" max="23" width="6.85546875" bestFit="1" customWidth="1"/>
    <col min="24" max="24" width="6.42578125" bestFit="1" customWidth="1"/>
    <col min="25" max="25" width="6.140625" bestFit="1" customWidth="1"/>
    <col min="26" max="27" width="10.140625" bestFit="1" customWidth="1"/>
    <col min="28" max="28" width="17" bestFit="1" customWidth="1"/>
    <col min="29" max="29" width="10.140625" bestFit="1" customWidth="1"/>
    <col min="30" max="31" width="5" bestFit="1" customWidth="1"/>
    <col min="32" max="32" width="7.28515625" bestFit="1" customWidth="1"/>
    <col min="33" max="35" width="5" bestFit="1" customWidth="1"/>
  </cols>
  <sheetData>
    <row r="1" spans="1:37" s="1" customFormat="1" ht="12.75" x14ac:dyDescent="0.2">
      <c r="A1" s="170" t="s">
        <v>1191</v>
      </c>
      <c r="B1" s="33" t="s">
        <v>50</v>
      </c>
      <c r="C1" s="33" t="s">
        <v>557</v>
      </c>
      <c r="D1" s="5" t="s">
        <v>115</v>
      </c>
      <c r="E1" s="33" t="s">
        <v>976</v>
      </c>
      <c r="F1" s="33" t="s">
        <v>181</v>
      </c>
      <c r="G1" s="33" t="s">
        <v>950</v>
      </c>
      <c r="H1" s="5" t="s">
        <v>51</v>
      </c>
      <c r="I1" s="5" t="s">
        <v>52</v>
      </c>
      <c r="J1" s="5" t="s">
        <v>53</v>
      </c>
      <c r="K1" s="5" t="s">
        <v>54</v>
      </c>
      <c r="L1" s="5" t="s">
        <v>55</v>
      </c>
      <c r="M1" s="5" t="s">
        <v>490</v>
      </c>
      <c r="N1" s="5" t="s">
        <v>992</v>
      </c>
      <c r="O1" s="5" t="s">
        <v>117</v>
      </c>
      <c r="P1" s="5" t="s">
        <v>116</v>
      </c>
      <c r="Q1" s="5" t="s">
        <v>118</v>
      </c>
      <c r="R1" s="5" t="s">
        <v>119</v>
      </c>
      <c r="S1" s="5" t="s">
        <v>120</v>
      </c>
      <c r="T1" s="5" t="s">
        <v>121</v>
      </c>
      <c r="U1" s="5" t="s">
        <v>122</v>
      </c>
      <c r="V1" s="5" t="s">
        <v>123</v>
      </c>
      <c r="W1" s="5" t="s">
        <v>124</v>
      </c>
      <c r="X1" s="5" t="s">
        <v>125</v>
      </c>
      <c r="Y1" s="5" t="s">
        <v>59</v>
      </c>
      <c r="Z1" s="5" t="s">
        <v>986</v>
      </c>
      <c r="AA1" s="5" t="s">
        <v>60</v>
      </c>
      <c r="AB1" s="33" t="s">
        <v>474</v>
      </c>
      <c r="AC1" s="106" t="s">
        <v>616</v>
      </c>
      <c r="AD1" s="159">
        <v>2015</v>
      </c>
      <c r="AE1" s="159" t="s">
        <v>993</v>
      </c>
      <c r="AF1" s="159" t="s">
        <v>994</v>
      </c>
      <c r="AG1" s="159" t="s">
        <v>995</v>
      </c>
      <c r="AH1" s="159" t="s">
        <v>996</v>
      </c>
      <c r="AI1" s="159" t="s">
        <v>997</v>
      </c>
    </row>
    <row r="2" spans="1:37" s="1" customFormat="1" ht="12.75" x14ac:dyDescent="0.2">
      <c r="A2" s="107">
        <v>42529</v>
      </c>
      <c r="B2" s="34" t="s">
        <v>244</v>
      </c>
      <c r="C2" s="4" t="s">
        <v>1192</v>
      </c>
      <c r="D2" s="19" t="s">
        <v>113</v>
      </c>
      <c r="E2" s="39" t="s">
        <v>977</v>
      </c>
      <c r="F2" s="39" t="s">
        <v>184</v>
      </c>
      <c r="G2" s="39" t="s">
        <v>959</v>
      </c>
      <c r="H2" s="27" t="s">
        <v>61</v>
      </c>
      <c r="I2" s="18" t="s">
        <v>235</v>
      </c>
      <c r="J2" s="18"/>
      <c r="K2" s="18"/>
      <c r="L2" s="18" t="s">
        <v>247</v>
      </c>
      <c r="M2" s="94"/>
      <c r="N2" s="94"/>
      <c r="O2" s="150" t="s">
        <v>245</v>
      </c>
      <c r="P2" s="151">
        <v>40864</v>
      </c>
      <c r="Q2" s="22" t="s">
        <v>424</v>
      </c>
      <c r="R2" s="23">
        <v>41240</v>
      </c>
      <c r="S2" s="150" t="s">
        <v>424</v>
      </c>
      <c r="T2" s="151">
        <v>40798</v>
      </c>
      <c r="U2" s="19"/>
      <c r="V2" s="19"/>
      <c r="W2" s="19"/>
      <c r="X2" s="19"/>
      <c r="Y2" s="89" t="s">
        <v>989</v>
      </c>
      <c r="Z2" s="100" t="s">
        <v>846</v>
      </c>
      <c r="AA2" s="90">
        <v>42055</v>
      </c>
      <c r="AB2" s="39" t="s">
        <v>835</v>
      </c>
      <c r="AC2" s="107">
        <v>41207</v>
      </c>
      <c r="AD2" s="158" t="s">
        <v>1061</v>
      </c>
      <c r="AE2" s="158"/>
      <c r="AF2" s="158" t="s">
        <v>1060</v>
      </c>
      <c r="AG2" s="158"/>
      <c r="AH2" s="158"/>
      <c r="AI2" s="158"/>
    </row>
    <row r="3" spans="1:37" x14ac:dyDescent="0.25">
      <c r="A3" s="171">
        <v>42747</v>
      </c>
      <c r="B3" s="3" t="s">
        <v>314</v>
      </c>
      <c r="C3" s="3" t="s">
        <v>1292</v>
      </c>
      <c r="D3" s="8" t="s">
        <v>113</v>
      </c>
      <c r="E3" s="8"/>
      <c r="F3" s="8" t="s">
        <v>183</v>
      </c>
      <c r="G3" s="10" t="s">
        <v>972</v>
      </c>
      <c r="H3" s="25" t="s">
        <v>69</v>
      </c>
      <c r="I3" s="3" t="s">
        <v>70</v>
      </c>
      <c r="J3" s="6"/>
      <c r="K3" s="6"/>
      <c r="L3" s="4" t="s">
        <v>315</v>
      </c>
      <c r="M3" s="93">
        <v>250</v>
      </c>
      <c r="N3" s="93"/>
      <c r="O3" s="150" t="s">
        <v>561</v>
      </c>
      <c r="P3" s="151">
        <v>41612</v>
      </c>
      <c r="Q3" s="20" t="s">
        <v>561</v>
      </c>
      <c r="R3" s="21">
        <v>41743</v>
      </c>
      <c r="S3" s="20" t="s">
        <v>561</v>
      </c>
      <c r="T3" s="21">
        <v>41928</v>
      </c>
      <c r="U3" s="7"/>
      <c r="V3" s="7"/>
      <c r="W3" s="7"/>
      <c r="X3" s="7"/>
      <c r="Y3" s="89" t="s">
        <v>989</v>
      </c>
      <c r="Z3" s="89" t="s">
        <v>773</v>
      </c>
      <c r="AA3" s="90">
        <v>41950</v>
      </c>
      <c r="AB3" s="10" t="s">
        <v>759</v>
      </c>
      <c r="AC3" s="107">
        <v>41542</v>
      </c>
      <c r="AD3" s="175">
        <v>41920</v>
      </c>
      <c r="AE3" s="158"/>
      <c r="AF3" s="158"/>
      <c r="AG3" s="158" t="s">
        <v>1061</v>
      </c>
      <c r="AH3" s="158" t="s">
        <v>998</v>
      </c>
      <c r="AI3" s="158"/>
      <c r="AJ3" s="158" t="s">
        <v>1061</v>
      </c>
      <c r="AK3" s="15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G64"/>
  <sheetViews>
    <sheetView topLeftCell="A28" workbookViewId="0"/>
  </sheetViews>
  <sheetFormatPr defaultRowHeight="15" x14ac:dyDescent="0.25"/>
  <cols>
    <col min="1" max="1" width="50.42578125" bestFit="1" customWidth="1"/>
    <col min="2" max="2" width="11" style="108" bestFit="1" customWidth="1"/>
    <col min="3" max="3" width="14.42578125" bestFit="1" customWidth="1"/>
    <col min="4" max="4" width="12" bestFit="1" customWidth="1"/>
    <col min="5" max="5" width="11" bestFit="1" customWidth="1"/>
    <col min="6" max="6" width="12.28515625" bestFit="1" customWidth="1"/>
    <col min="7" max="7" width="19.28515625" bestFit="1" customWidth="1"/>
  </cols>
  <sheetData>
    <row r="1" spans="1:7" ht="15.75" thickBot="1" x14ac:dyDescent="0.3">
      <c r="A1" s="117" t="s">
        <v>618</v>
      </c>
      <c r="B1" s="125" t="s">
        <v>619</v>
      </c>
      <c r="C1" s="342" t="s">
        <v>620</v>
      </c>
      <c r="D1" s="343"/>
      <c r="E1" s="343"/>
      <c r="F1" s="343"/>
      <c r="G1" s="344"/>
    </row>
    <row r="2" spans="1:7" x14ac:dyDescent="0.25">
      <c r="A2" s="118" t="s">
        <v>501</v>
      </c>
      <c r="B2" s="126" t="s">
        <v>114</v>
      </c>
      <c r="C2" s="121" t="s">
        <v>56</v>
      </c>
      <c r="D2" s="110" t="s">
        <v>130</v>
      </c>
      <c r="E2" s="110"/>
      <c r="F2" s="110"/>
      <c r="G2" s="111" t="s">
        <v>131</v>
      </c>
    </row>
    <row r="3" spans="1:7" x14ac:dyDescent="0.25">
      <c r="A3" s="119" t="s">
        <v>25</v>
      </c>
      <c r="B3" s="127" t="s">
        <v>112</v>
      </c>
      <c r="C3" s="122" t="s">
        <v>56</v>
      </c>
      <c r="D3" s="109" t="s">
        <v>57</v>
      </c>
      <c r="E3" s="109"/>
      <c r="F3" s="109"/>
      <c r="G3" s="112" t="s">
        <v>94</v>
      </c>
    </row>
    <row r="4" spans="1:7" x14ac:dyDescent="0.25">
      <c r="A4" s="119" t="s">
        <v>29</v>
      </c>
      <c r="B4" s="127" t="s">
        <v>112</v>
      </c>
      <c r="C4" s="122" t="s">
        <v>56</v>
      </c>
      <c r="D4" s="109" t="s">
        <v>57</v>
      </c>
      <c r="E4" s="109"/>
      <c r="F4" s="109"/>
      <c r="G4" s="112" t="s">
        <v>97</v>
      </c>
    </row>
    <row r="5" spans="1:7" x14ac:dyDescent="0.25">
      <c r="A5" s="119" t="s">
        <v>39</v>
      </c>
      <c r="B5" s="127" t="s">
        <v>114</v>
      </c>
      <c r="C5" s="122" t="s">
        <v>56</v>
      </c>
      <c r="D5" s="109" t="s">
        <v>57</v>
      </c>
      <c r="E5" s="109"/>
      <c r="F5" s="109"/>
      <c r="G5" s="112" t="s">
        <v>103</v>
      </c>
    </row>
    <row r="6" spans="1:7" x14ac:dyDescent="0.25">
      <c r="A6" s="119" t="s">
        <v>33</v>
      </c>
      <c r="B6" s="127" t="s">
        <v>112</v>
      </c>
      <c r="C6" s="122" t="s">
        <v>56</v>
      </c>
      <c r="D6" s="109" t="s">
        <v>57</v>
      </c>
      <c r="E6" s="109"/>
      <c r="F6" s="109"/>
      <c r="G6" s="112" t="s">
        <v>100</v>
      </c>
    </row>
    <row r="7" spans="1:7" x14ac:dyDescent="0.25">
      <c r="A7" s="119" t="s">
        <v>129</v>
      </c>
      <c r="B7" s="127" t="s">
        <v>112</v>
      </c>
      <c r="C7" s="122" t="s">
        <v>56</v>
      </c>
      <c r="D7" s="109" t="s">
        <v>57</v>
      </c>
      <c r="E7" s="109"/>
      <c r="F7" s="109"/>
      <c r="G7" s="112" t="s">
        <v>85</v>
      </c>
    </row>
    <row r="8" spans="1:7" x14ac:dyDescent="0.25">
      <c r="A8" s="119" t="s">
        <v>191</v>
      </c>
      <c r="B8" s="127" t="s">
        <v>114</v>
      </c>
      <c r="C8" s="122" t="s">
        <v>56</v>
      </c>
      <c r="D8" s="109" t="s">
        <v>57</v>
      </c>
      <c r="E8" s="109"/>
      <c r="F8" s="109"/>
      <c r="G8" s="112" t="s">
        <v>85</v>
      </c>
    </row>
    <row r="9" spans="1:7" x14ac:dyDescent="0.25">
      <c r="A9" s="119" t="s">
        <v>213</v>
      </c>
      <c r="B9" s="127" t="s">
        <v>112</v>
      </c>
      <c r="C9" s="122" t="s">
        <v>56</v>
      </c>
      <c r="D9" s="109" t="s">
        <v>57</v>
      </c>
      <c r="E9" s="109"/>
      <c r="F9" s="109"/>
      <c r="G9" s="112" t="s">
        <v>240</v>
      </c>
    </row>
    <row r="10" spans="1:7" x14ac:dyDescent="0.25">
      <c r="A10" s="119" t="s">
        <v>192</v>
      </c>
      <c r="B10" s="127" t="s">
        <v>114</v>
      </c>
      <c r="C10" s="122" t="s">
        <v>56</v>
      </c>
      <c r="D10" s="109" t="s">
        <v>57</v>
      </c>
      <c r="E10" s="109"/>
      <c r="F10" s="109"/>
      <c r="G10" s="112" t="s">
        <v>86</v>
      </c>
    </row>
    <row r="11" spans="1:7" x14ac:dyDescent="0.25">
      <c r="A11" s="119" t="s">
        <v>35</v>
      </c>
      <c r="B11" s="127" t="s">
        <v>112</v>
      </c>
      <c r="C11" s="122" t="s">
        <v>56</v>
      </c>
      <c r="D11" s="109" t="s">
        <v>57</v>
      </c>
      <c r="E11" s="109"/>
      <c r="F11" s="109"/>
      <c r="G11" s="112" t="s">
        <v>101</v>
      </c>
    </row>
    <row r="12" spans="1:7" x14ac:dyDescent="0.25">
      <c r="A12" s="119" t="s">
        <v>49</v>
      </c>
      <c r="B12" s="127" t="s">
        <v>114</v>
      </c>
      <c r="C12" s="122" t="s">
        <v>56</v>
      </c>
      <c r="D12" s="109" t="s">
        <v>110</v>
      </c>
      <c r="E12" s="109"/>
      <c r="F12" s="109"/>
      <c r="G12" s="112" t="s">
        <v>111</v>
      </c>
    </row>
    <row r="13" spans="1:7" x14ac:dyDescent="0.25">
      <c r="A13" s="119" t="s">
        <v>24</v>
      </c>
      <c r="B13" s="127" t="s">
        <v>114</v>
      </c>
      <c r="C13" s="122" t="s">
        <v>56</v>
      </c>
      <c r="D13" s="109" t="s">
        <v>88</v>
      </c>
      <c r="E13" s="109"/>
      <c r="F13" s="109"/>
      <c r="G13" s="112" t="s">
        <v>93</v>
      </c>
    </row>
    <row r="14" spans="1:7" x14ac:dyDescent="0.25">
      <c r="A14" s="119" t="s">
        <v>421</v>
      </c>
      <c r="B14" s="127" t="s">
        <v>112</v>
      </c>
      <c r="C14" s="122" t="s">
        <v>56</v>
      </c>
      <c r="D14" s="109" t="s">
        <v>88</v>
      </c>
      <c r="E14" s="109"/>
      <c r="F14" s="109"/>
      <c r="G14" s="112" t="s">
        <v>89</v>
      </c>
    </row>
    <row r="15" spans="1:7" x14ac:dyDescent="0.25">
      <c r="A15" s="119" t="s">
        <v>469</v>
      </c>
      <c r="B15" s="127" t="s">
        <v>112</v>
      </c>
      <c r="C15" s="122" t="s">
        <v>56</v>
      </c>
      <c r="D15" s="109" t="s">
        <v>88</v>
      </c>
      <c r="E15" s="109"/>
      <c r="F15" s="109"/>
      <c r="G15" s="112" t="s">
        <v>420</v>
      </c>
    </row>
    <row r="16" spans="1:7" x14ac:dyDescent="0.25">
      <c r="A16" s="119" t="s">
        <v>45</v>
      </c>
      <c r="B16" s="127" t="s">
        <v>112</v>
      </c>
      <c r="C16" s="122" t="s">
        <v>56</v>
      </c>
      <c r="D16" s="109" t="s">
        <v>88</v>
      </c>
      <c r="E16" s="109"/>
      <c r="F16" s="109"/>
      <c r="G16" s="112" t="s">
        <v>106</v>
      </c>
    </row>
    <row r="17" spans="1:7" x14ac:dyDescent="0.25">
      <c r="A17" s="119" t="s">
        <v>41</v>
      </c>
      <c r="B17" s="127" t="s">
        <v>114</v>
      </c>
      <c r="C17" s="122" t="s">
        <v>56</v>
      </c>
      <c r="D17" s="109" t="s">
        <v>88</v>
      </c>
      <c r="E17" s="109"/>
      <c r="F17" s="109"/>
      <c r="G17" s="112" t="s">
        <v>104</v>
      </c>
    </row>
    <row r="18" spans="1:7" x14ac:dyDescent="0.25">
      <c r="A18" s="119" t="s">
        <v>150</v>
      </c>
      <c r="B18" s="127" t="s">
        <v>112</v>
      </c>
      <c r="C18" s="122" t="s">
        <v>56</v>
      </c>
      <c r="D18" s="109" t="s">
        <v>88</v>
      </c>
      <c r="E18" s="109"/>
      <c r="F18" s="109"/>
      <c r="G18" s="112" t="s">
        <v>151</v>
      </c>
    </row>
    <row r="19" spans="1:7" x14ac:dyDescent="0.25">
      <c r="A19" s="119" t="s">
        <v>550</v>
      </c>
      <c r="B19" s="127" t="s">
        <v>112</v>
      </c>
      <c r="C19" s="122" t="s">
        <v>56</v>
      </c>
      <c r="D19" s="109" t="s">
        <v>88</v>
      </c>
      <c r="E19" s="109"/>
      <c r="F19" s="109"/>
      <c r="G19" s="112" t="s">
        <v>508</v>
      </c>
    </row>
    <row r="20" spans="1:7" x14ac:dyDescent="0.25">
      <c r="A20" s="119" t="s">
        <v>22</v>
      </c>
      <c r="B20" s="127" t="s">
        <v>112</v>
      </c>
      <c r="C20" s="122" t="s">
        <v>56</v>
      </c>
      <c r="D20" s="109" t="s">
        <v>88</v>
      </c>
      <c r="E20" s="109"/>
      <c r="F20" s="109"/>
      <c r="G20" s="112" t="s">
        <v>92</v>
      </c>
    </row>
    <row r="21" spans="1:7" x14ac:dyDescent="0.25">
      <c r="A21" s="119" t="s">
        <v>37</v>
      </c>
      <c r="B21" s="127" t="s">
        <v>112</v>
      </c>
      <c r="C21" s="122" t="s">
        <v>56</v>
      </c>
      <c r="D21" s="109" t="s">
        <v>88</v>
      </c>
      <c r="E21" s="109"/>
      <c r="F21" s="109"/>
      <c r="G21" s="112" t="s">
        <v>102</v>
      </c>
    </row>
    <row r="22" spans="1:7" x14ac:dyDescent="0.25">
      <c r="A22" s="119" t="s">
        <v>515</v>
      </c>
      <c r="B22" s="127" t="s">
        <v>114</v>
      </c>
      <c r="C22" s="122" t="s">
        <v>56</v>
      </c>
      <c r="D22" s="109"/>
      <c r="E22" s="109" t="s">
        <v>172</v>
      </c>
      <c r="F22" s="109" t="s">
        <v>232</v>
      </c>
      <c r="G22" s="112" t="s">
        <v>233</v>
      </c>
    </row>
    <row r="23" spans="1:7" x14ac:dyDescent="0.25">
      <c r="A23" s="119" t="s">
        <v>209</v>
      </c>
      <c r="B23" s="127" t="s">
        <v>114</v>
      </c>
      <c r="C23" s="122" t="s">
        <v>56</v>
      </c>
      <c r="D23" s="109"/>
      <c r="E23" s="109" t="s">
        <v>172</v>
      </c>
      <c r="F23" s="109" t="s">
        <v>232</v>
      </c>
      <c r="G23" s="112" t="s">
        <v>233</v>
      </c>
    </row>
    <row r="24" spans="1:7" x14ac:dyDescent="0.25">
      <c r="A24" s="119" t="s">
        <v>366</v>
      </c>
      <c r="B24" s="127" t="s">
        <v>112</v>
      </c>
      <c r="C24" s="122" t="s">
        <v>56</v>
      </c>
      <c r="D24" s="109"/>
      <c r="E24" s="109" t="s">
        <v>171</v>
      </c>
      <c r="F24" s="109" t="s">
        <v>367</v>
      </c>
      <c r="G24" s="112" t="s">
        <v>368</v>
      </c>
    </row>
    <row r="25" spans="1:7" x14ac:dyDescent="0.25">
      <c r="A25" s="119" t="s">
        <v>31</v>
      </c>
      <c r="B25" s="127" t="s">
        <v>114</v>
      </c>
      <c r="C25" s="122" t="s">
        <v>56</v>
      </c>
      <c r="D25" s="109"/>
      <c r="E25" s="109" t="s">
        <v>170</v>
      </c>
      <c r="F25" s="109" t="s">
        <v>98</v>
      </c>
      <c r="G25" s="112" t="s">
        <v>99</v>
      </c>
    </row>
    <row r="26" spans="1:7" x14ac:dyDescent="0.25">
      <c r="A26" s="119" t="s">
        <v>43</v>
      </c>
      <c r="B26" s="127" t="s">
        <v>114</v>
      </c>
      <c r="C26" s="122" t="s">
        <v>56</v>
      </c>
      <c r="D26" s="109"/>
      <c r="E26" s="109" t="s">
        <v>170</v>
      </c>
      <c r="F26" s="109" t="s">
        <v>64</v>
      </c>
      <c r="G26" s="112" t="s">
        <v>105</v>
      </c>
    </row>
    <row r="27" spans="1:7" x14ac:dyDescent="0.25">
      <c r="A27" s="119" t="s">
        <v>392</v>
      </c>
      <c r="B27" s="127" t="s">
        <v>112</v>
      </c>
      <c r="C27" s="122" t="s">
        <v>56</v>
      </c>
      <c r="D27" s="109"/>
      <c r="E27" s="109" t="s">
        <v>170</v>
      </c>
      <c r="F27" s="109" t="s">
        <v>64</v>
      </c>
      <c r="G27" s="112" t="s">
        <v>96</v>
      </c>
    </row>
    <row r="28" spans="1:7" x14ac:dyDescent="0.25">
      <c r="A28" s="119" t="s">
        <v>189</v>
      </c>
      <c r="B28" s="127" t="s">
        <v>114</v>
      </c>
      <c r="C28" s="122" t="s">
        <v>56</v>
      </c>
      <c r="D28" s="109"/>
      <c r="E28" s="109" t="s">
        <v>170</v>
      </c>
      <c r="F28" s="109" t="s">
        <v>64</v>
      </c>
      <c r="G28" s="112" t="s">
        <v>87</v>
      </c>
    </row>
    <row r="29" spans="1:7" x14ac:dyDescent="0.25">
      <c r="A29" s="119" t="s">
        <v>190</v>
      </c>
      <c r="B29" s="127" t="s">
        <v>114</v>
      </c>
      <c r="C29" s="122" t="s">
        <v>56</v>
      </c>
      <c r="D29" s="109"/>
      <c r="E29" s="109" t="s">
        <v>170</v>
      </c>
      <c r="F29" s="109" t="s">
        <v>64</v>
      </c>
      <c r="G29" s="112" t="s">
        <v>65</v>
      </c>
    </row>
    <row r="30" spans="1:7" x14ac:dyDescent="0.25">
      <c r="A30" s="119" t="s">
        <v>14</v>
      </c>
      <c r="B30" s="127" t="s">
        <v>114</v>
      </c>
      <c r="C30" s="122" t="s">
        <v>56</v>
      </c>
      <c r="D30" s="109"/>
      <c r="E30" s="109" t="s">
        <v>170</v>
      </c>
      <c r="F30" s="109" t="s">
        <v>64</v>
      </c>
      <c r="G30" s="112" t="s">
        <v>84</v>
      </c>
    </row>
    <row r="31" spans="1:7" ht="15.75" thickBot="1" x14ac:dyDescent="0.3">
      <c r="A31" s="120" t="s">
        <v>477</v>
      </c>
      <c r="B31" s="128" t="s">
        <v>114</v>
      </c>
      <c r="C31" s="123" t="s">
        <v>56</v>
      </c>
      <c r="D31" s="113"/>
      <c r="E31" s="113" t="s">
        <v>170</v>
      </c>
      <c r="F31" s="113" t="s">
        <v>64</v>
      </c>
      <c r="G31" s="114" t="s">
        <v>95</v>
      </c>
    </row>
    <row r="32" spans="1:7" x14ac:dyDescent="0.25">
      <c r="A32" s="118" t="s">
        <v>465</v>
      </c>
      <c r="B32" s="126" t="s">
        <v>114</v>
      </c>
      <c r="C32" s="121" t="s">
        <v>61</v>
      </c>
      <c r="D32" s="110" t="s">
        <v>225</v>
      </c>
      <c r="E32" s="110"/>
      <c r="F32" s="110"/>
      <c r="G32" s="111" t="s">
        <v>484</v>
      </c>
    </row>
    <row r="33" spans="1:7" x14ac:dyDescent="0.25">
      <c r="A33" s="119" t="s">
        <v>198</v>
      </c>
      <c r="B33" s="127" t="s">
        <v>114</v>
      </c>
      <c r="C33" s="122" t="s">
        <v>61</v>
      </c>
      <c r="D33" s="109" t="s">
        <v>225</v>
      </c>
      <c r="E33" s="109"/>
      <c r="F33" s="109"/>
      <c r="G33" s="112" t="s">
        <v>226</v>
      </c>
    </row>
    <row r="34" spans="1:7" x14ac:dyDescent="0.25">
      <c r="A34" s="119" t="s">
        <v>201</v>
      </c>
      <c r="B34" s="127" t="s">
        <v>114</v>
      </c>
      <c r="C34" s="122" t="s">
        <v>61</v>
      </c>
      <c r="D34" s="109" t="s">
        <v>235</v>
      </c>
      <c r="E34" s="109"/>
      <c r="F34" s="109"/>
      <c r="G34" s="112" t="s">
        <v>236</v>
      </c>
    </row>
    <row r="35" spans="1:7" x14ac:dyDescent="0.25">
      <c r="A35" s="119" t="s">
        <v>215</v>
      </c>
      <c r="B35" s="127" t="s">
        <v>114</v>
      </c>
      <c r="C35" s="122" t="s">
        <v>61</v>
      </c>
      <c r="D35" s="109" t="s">
        <v>235</v>
      </c>
      <c r="E35" s="109"/>
      <c r="F35" s="109"/>
      <c r="G35" s="112" t="s">
        <v>242</v>
      </c>
    </row>
    <row r="36" spans="1:7" x14ac:dyDescent="0.25">
      <c r="A36" s="119" t="s">
        <v>205</v>
      </c>
      <c r="B36" s="127" t="s">
        <v>114</v>
      </c>
      <c r="C36" s="122" t="s">
        <v>61</v>
      </c>
      <c r="D36" s="109" t="s">
        <v>235</v>
      </c>
      <c r="E36" s="109"/>
      <c r="F36" s="109"/>
      <c r="G36" s="112" t="s">
        <v>237</v>
      </c>
    </row>
    <row r="37" spans="1:7" x14ac:dyDescent="0.25">
      <c r="A37" s="119" t="s">
        <v>449</v>
      </c>
      <c r="B37" s="127" t="s">
        <v>114</v>
      </c>
      <c r="C37" s="122" t="s">
        <v>61</v>
      </c>
      <c r="D37" s="109" t="s">
        <v>81</v>
      </c>
      <c r="E37" s="109"/>
      <c r="F37" s="109"/>
      <c r="G37" s="112" t="s">
        <v>450</v>
      </c>
    </row>
    <row r="38" spans="1:7" x14ac:dyDescent="0.25">
      <c r="A38" s="119" t="s">
        <v>11</v>
      </c>
      <c r="B38" s="127" t="s">
        <v>112</v>
      </c>
      <c r="C38" s="122" t="s">
        <v>61</v>
      </c>
      <c r="D38" s="109" t="s">
        <v>81</v>
      </c>
      <c r="E38" s="109"/>
      <c r="F38" s="109"/>
      <c r="G38" s="112" t="s">
        <v>82</v>
      </c>
    </row>
    <row r="39" spans="1:7" x14ac:dyDescent="0.25">
      <c r="A39" s="119" t="s">
        <v>257</v>
      </c>
      <c r="B39" s="127" t="s">
        <v>114</v>
      </c>
      <c r="C39" s="122" t="s">
        <v>61</v>
      </c>
      <c r="D39" s="109" t="s">
        <v>78</v>
      </c>
      <c r="E39" s="109"/>
      <c r="F39" s="109"/>
      <c r="G39" s="112" t="s">
        <v>258</v>
      </c>
    </row>
    <row r="40" spans="1:7" x14ac:dyDescent="0.25">
      <c r="A40" s="119" t="s">
        <v>210</v>
      </c>
      <c r="B40" s="127" t="s">
        <v>114</v>
      </c>
      <c r="C40" s="122" t="s">
        <v>61</v>
      </c>
      <c r="D40" s="109" t="s">
        <v>78</v>
      </c>
      <c r="E40" s="109"/>
      <c r="F40" s="109"/>
      <c r="G40" s="112" t="s">
        <v>234</v>
      </c>
    </row>
    <row r="41" spans="1:7" x14ac:dyDescent="0.25">
      <c r="A41" s="119" t="s">
        <v>565</v>
      </c>
      <c r="B41" s="127" t="s">
        <v>114</v>
      </c>
      <c r="C41" s="122" t="s">
        <v>61</v>
      </c>
      <c r="D41" s="109" t="s">
        <v>78</v>
      </c>
      <c r="E41" s="109"/>
      <c r="F41" s="109"/>
      <c r="G41" s="112" t="s">
        <v>79</v>
      </c>
    </row>
    <row r="42" spans="1:7" x14ac:dyDescent="0.25">
      <c r="A42" s="119" t="s">
        <v>194</v>
      </c>
      <c r="B42" s="127" t="s">
        <v>114</v>
      </c>
      <c r="C42" s="122" t="s">
        <v>61</v>
      </c>
      <c r="D42" s="109" t="s">
        <v>78</v>
      </c>
      <c r="E42" s="109"/>
      <c r="F42" s="109"/>
      <c r="G42" s="112" t="s">
        <v>219</v>
      </c>
    </row>
    <row r="43" spans="1:7" x14ac:dyDescent="0.25">
      <c r="A43" s="119" t="s">
        <v>12</v>
      </c>
      <c r="B43" s="127" t="s">
        <v>114</v>
      </c>
      <c r="C43" s="122" t="s">
        <v>61</v>
      </c>
      <c r="D43" s="109" t="s">
        <v>78</v>
      </c>
      <c r="E43" s="109"/>
      <c r="F43" s="109"/>
      <c r="G43" s="112" t="s">
        <v>83</v>
      </c>
    </row>
    <row r="44" spans="1:7" x14ac:dyDescent="0.25">
      <c r="A44" s="119" t="s">
        <v>195</v>
      </c>
      <c r="B44" s="127" t="s">
        <v>114</v>
      </c>
      <c r="C44" s="122" t="s">
        <v>61</v>
      </c>
      <c r="D44" s="109" t="s">
        <v>78</v>
      </c>
      <c r="E44" s="109"/>
      <c r="F44" s="109"/>
      <c r="G44" s="112" t="s">
        <v>218</v>
      </c>
    </row>
    <row r="45" spans="1:7" x14ac:dyDescent="0.25">
      <c r="A45" s="119" t="s">
        <v>434</v>
      </c>
      <c r="B45" s="127" t="s">
        <v>114</v>
      </c>
      <c r="C45" s="122" t="s">
        <v>61</v>
      </c>
      <c r="D45" s="109" t="s">
        <v>78</v>
      </c>
      <c r="E45" s="109"/>
      <c r="F45" s="109"/>
      <c r="G45" s="112" t="s">
        <v>435</v>
      </c>
    </row>
    <row r="46" spans="1:7" x14ac:dyDescent="0.25">
      <c r="A46" s="119" t="s">
        <v>448</v>
      </c>
      <c r="B46" s="127" t="s">
        <v>114</v>
      </c>
      <c r="C46" s="122" t="s">
        <v>61</v>
      </c>
      <c r="D46" s="109"/>
      <c r="E46" s="109" t="s">
        <v>62</v>
      </c>
      <c r="F46" s="109" t="s">
        <v>80</v>
      </c>
      <c r="G46" s="112" t="s">
        <v>451</v>
      </c>
    </row>
    <row r="47" spans="1:7" x14ac:dyDescent="0.25">
      <c r="A47" s="119" t="s">
        <v>439</v>
      </c>
      <c r="B47" s="127" t="s">
        <v>114</v>
      </c>
      <c r="C47" s="122" t="s">
        <v>61</v>
      </c>
      <c r="D47" s="109"/>
      <c r="E47" s="109" t="s">
        <v>62</v>
      </c>
      <c r="F47" s="109" t="s">
        <v>80</v>
      </c>
      <c r="G47" s="112" t="s">
        <v>395</v>
      </c>
    </row>
    <row r="48" spans="1:7" x14ac:dyDescent="0.25">
      <c r="A48" s="119" t="s">
        <v>555</v>
      </c>
      <c r="B48" s="127" t="s">
        <v>112</v>
      </c>
      <c r="C48" s="122" t="s">
        <v>61</v>
      </c>
      <c r="D48" s="109"/>
      <c r="E48" s="109" t="s">
        <v>62</v>
      </c>
      <c r="F48" s="109" t="s">
        <v>80</v>
      </c>
      <c r="G48" s="112" t="s">
        <v>395</v>
      </c>
    </row>
    <row r="49" spans="1:7" ht="15.75" thickBot="1" x14ac:dyDescent="0.3">
      <c r="A49" s="120" t="s">
        <v>207</v>
      </c>
      <c r="B49" s="128" t="s">
        <v>114</v>
      </c>
      <c r="C49" s="123" t="s">
        <v>61</v>
      </c>
      <c r="D49" s="113"/>
      <c r="E49" s="113" t="s">
        <v>62</v>
      </c>
      <c r="F49" s="113" t="s">
        <v>238</v>
      </c>
      <c r="G49" s="114" t="s">
        <v>239</v>
      </c>
    </row>
    <row r="50" spans="1:7" ht="15.75" thickBot="1" x14ac:dyDescent="0.3">
      <c r="A50" s="59" t="s">
        <v>47</v>
      </c>
      <c r="B50" s="129" t="s">
        <v>112</v>
      </c>
      <c r="C50" s="124" t="s">
        <v>107</v>
      </c>
      <c r="D50" s="115" t="s">
        <v>108</v>
      </c>
      <c r="E50" s="115"/>
      <c r="F50" s="115"/>
      <c r="G50" s="116" t="s">
        <v>109</v>
      </c>
    </row>
    <row r="51" spans="1:7" x14ac:dyDescent="0.25">
      <c r="A51" s="118" t="s">
        <v>299</v>
      </c>
      <c r="B51" s="126" t="s">
        <v>114</v>
      </c>
      <c r="C51" s="121" t="s">
        <v>75</v>
      </c>
      <c r="D51" s="110" t="s">
        <v>76</v>
      </c>
      <c r="E51" s="110"/>
      <c r="F51" s="110"/>
      <c r="G51" s="111" t="s">
        <v>300</v>
      </c>
    </row>
    <row r="52" spans="1:7" x14ac:dyDescent="0.25">
      <c r="A52" s="119" t="s">
        <v>8</v>
      </c>
      <c r="B52" s="127" t="s">
        <v>112</v>
      </c>
      <c r="C52" s="122" t="s">
        <v>75</v>
      </c>
      <c r="D52" s="109" t="s">
        <v>76</v>
      </c>
      <c r="E52" s="109"/>
      <c r="F52" s="109"/>
      <c r="G52" s="112" t="s">
        <v>77</v>
      </c>
    </row>
    <row r="53" spans="1:7" ht="15.75" thickBot="1" x14ac:dyDescent="0.3">
      <c r="A53" s="120" t="s">
        <v>200</v>
      </c>
      <c r="B53" s="128" t="s">
        <v>114</v>
      </c>
      <c r="C53" s="123" t="s">
        <v>75</v>
      </c>
      <c r="D53" s="113"/>
      <c r="E53" s="113" t="s">
        <v>229</v>
      </c>
      <c r="F53" s="113" t="s">
        <v>230</v>
      </c>
      <c r="G53" s="114" t="s">
        <v>231</v>
      </c>
    </row>
    <row r="54" spans="1:7" ht="15.75" thickBot="1" x14ac:dyDescent="0.3">
      <c r="A54" s="59" t="s">
        <v>6</v>
      </c>
      <c r="B54" s="129" t="s">
        <v>112</v>
      </c>
      <c r="C54" s="124" t="s">
        <v>72</v>
      </c>
      <c r="D54" s="115" t="s">
        <v>73</v>
      </c>
      <c r="E54" s="115"/>
      <c r="F54" s="115"/>
      <c r="G54" s="116" t="s">
        <v>74</v>
      </c>
    </row>
    <row r="55" spans="1:7" ht="15.75" thickBot="1" x14ac:dyDescent="0.3">
      <c r="A55" s="59" t="s">
        <v>461</v>
      </c>
      <c r="B55" s="129" t="s">
        <v>112</v>
      </c>
      <c r="C55" s="124" t="s">
        <v>283</v>
      </c>
      <c r="D55" s="115" t="s">
        <v>284</v>
      </c>
      <c r="E55" s="115"/>
      <c r="F55" s="115"/>
      <c r="G55" s="116" t="s">
        <v>462</v>
      </c>
    </row>
    <row r="56" spans="1:7" x14ac:dyDescent="0.25">
      <c r="A56" s="118" t="s">
        <v>267</v>
      </c>
      <c r="B56" s="126" t="s">
        <v>112</v>
      </c>
      <c r="C56" s="121" t="s">
        <v>260</v>
      </c>
      <c r="D56" s="110" t="s">
        <v>261</v>
      </c>
      <c r="E56" s="110"/>
      <c r="F56" s="110"/>
      <c r="G56" s="111" t="s">
        <v>269</v>
      </c>
    </row>
    <row r="57" spans="1:7" ht="15.75" thickBot="1" x14ac:dyDescent="0.3">
      <c r="A57" s="120" t="s">
        <v>266</v>
      </c>
      <c r="B57" s="128" t="s">
        <v>112</v>
      </c>
      <c r="C57" s="123" t="s">
        <v>260</v>
      </c>
      <c r="D57" s="113" t="s">
        <v>261</v>
      </c>
      <c r="E57" s="113"/>
      <c r="F57" s="113"/>
      <c r="G57" s="114" t="s">
        <v>268</v>
      </c>
    </row>
    <row r="58" spans="1:7" x14ac:dyDescent="0.25">
      <c r="A58" s="118" t="s">
        <v>20</v>
      </c>
      <c r="B58" s="126" t="s">
        <v>114</v>
      </c>
      <c r="C58" s="121" t="s">
        <v>69</v>
      </c>
      <c r="D58" s="110"/>
      <c r="E58" s="110" t="s">
        <v>90</v>
      </c>
      <c r="F58" s="110" t="s">
        <v>91</v>
      </c>
      <c r="G58" s="111" t="s">
        <v>394</v>
      </c>
    </row>
    <row r="59" spans="1:7" ht="15.75" thickBot="1" x14ac:dyDescent="0.3">
      <c r="A59" s="120" t="s">
        <v>5</v>
      </c>
      <c r="B59" s="128" t="s">
        <v>114</v>
      </c>
      <c r="C59" s="123" t="s">
        <v>69</v>
      </c>
      <c r="D59" s="113"/>
      <c r="E59" s="113" t="s">
        <v>70</v>
      </c>
      <c r="F59" s="113" t="s">
        <v>71</v>
      </c>
      <c r="G59" s="114" t="s">
        <v>393</v>
      </c>
    </row>
    <row r="60" spans="1:7" ht="15.75" thickBot="1" x14ac:dyDescent="0.3">
      <c r="A60" s="59" t="s">
        <v>466</v>
      </c>
      <c r="B60" s="129" t="s">
        <v>112</v>
      </c>
      <c r="C60" s="124" t="s">
        <v>292</v>
      </c>
      <c r="D60" s="115" t="s">
        <v>293</v>
      </c>
      <c r="E60" s="115"/>
      <c r="F60" s="115"/>
      <c r="G60" s="116" t="s">
        <v>467</v>
      </c>
    </row>
    <row r="61" spans="1:7" x14ac:dyDescent="0.25">
      <c r="A61" s="118" t="s">
        <v>3</v>
      </c>
      <c r="B61" s="126" t="s">
        <v>112</v>
      </c>
      <c r="C61" s="121" t="s">
        <v>66</v>
      </c>
      <c r="D61" s="110" t="s">
        <v>67</v>
      </c>
      <c r="E61" s="110"/>
      <c r="F61" s="110"/>
      <c r="G61" s="111" t="s">
        <v>68</v>
      </c>
    </row>
    <row r="62" spans="1:7" x14ac:dyDescent="0.25">
      <c r="A62" s="119" t="s">
        <v>196</v>
      </c>
      <c r="B62" s="127" t="s">
        <v>112</v>
      </c>
      <c r="C62" s="122" t="s">
        <v>66</v>
      </c>
      <c r="D62" s="109"/>
      <c r="E62" s="109" t="s">
        <v>220</v>
      </c>
      <c r="F62" s="109" t="s">
        <v>220</v>
      </c>
      <c r="G62" s="112" t="s">
        <v>224</v>
      </c>
    </row>
    <row r="63" spans="1:7" ht="15.75" thickBot="1" x14ac:dyDescent="0.3">
      <c r="A63" s="120" t="s">
        <v>197</v>
      </c>
      <c r="B63" s="128" t="s">
        <v>112</v>
      </c>
      <c r="C63" s="123" t="s">
        <v>66</v>
      </c>
      <c r="D63" s="113"/>
      <c r="E63" s="113" t="s">
        <v>221</v>
      </c>
      <c r="F63" s="113" t="s">
        <v>222</v>
      </c>
      <c r="G63" s="114" t="s">
        <v>223</v>
      </c>
    </row>
    <row r="64" spans="1:7" ht="15.75" thickBot="1" x14ac:dyDescent="0.3">
      <c r="A64" s="59" t="s">
        <v>532</v>
      </c>
      <c r="B64" s="129" t="s">
        <v>112</v>
      </c>
      <c r="C64" s="124" t="s">
        <v>346</v>
      </c>
      <c r="D64" s="115"/>
      <c r="E64" s="115" t="s">
        <v>533</v>
      </c>
      <c r="F64" s="115" t="s">
        <v>534</v>
      </c>
      <c r="G64" s="116" t="s">
        <v>535</v>
      </c>
    </row>
  </sheetData>
  <sheetProtection password="C4C8" sheet="1" objects="1" scenarios="1" selectLockedCells="1" selectUnlockedCells="1"/>
  <sortState ref="A2:G64">
    <sortCondition ref="C2:C64"/>
    <sortCondition ref="D2:D64"/>
    <sortCondition ref="E2:E64"/>
    <sortCondition ref="F2:F64"/>
    <sortCondition ref="G2:G64"/>
  </sortState>
  <mergeCells count="1">
    <mergeCell ref="C1:G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17"/>
  <sheetViews>
    <sheetView workbookViewId="0">
      <selection activeCell="M39" sqref="M39"/>
    </sheetView>
  </sheetViews>
  <sheetFormatPr defaultRowHeight="15" x14ac:dyDescent="0.25"/>
  <cols>
    <col min="1" max="1" width="14.42578125" bestFit="1" customWidth="1"/>
    <col min="2" max="3" width="3" bestFit="1" customWidth="1"/>
    <col min="4" max="4" width="4" bestFit="1" customWidth="1"/>
    <col min="5" max="5" width="7.28515625" bestFit="1" customWidth="1"/>
  </cols>
  <sheetData>
    <row r="1" spans="1:5" ht="15.75" thickBot="1" x14ac:dyDescent="0.3">
      <c r="A1" s="59"/>
      <c r="B1" s="58" t="s">
        <v>114</v>
      </c>
      <c r="C1" s="51" t="s">
        <v>112</v>
      </c>
      <c r="D1" s="52" t="s">
        <v>113</v>
      </c>
      <c r="E1" s="61" t="s">
        <v>399</v>
      </c>
    </row>
    <row r="2" spans="1:5" x14ac:dyDescent="0.25">
      <c r="A2" s="46" t="s">
        <v>56</v>
      </c>
      <c r="B2" s="47">
        <f>COUNTIFS((Kõik!C8:C244),"=A",(Kõik!G8:G244),"=Harjumaa")</f>
        <v>16</v>
      </c>
      <c r="C2" s="48">
        <f>COUNTIFS((Kõik!C8:C244),"=B",(Kõik!G8:G244),"=Harjumaa")</f>
        <v>18</v>
      </c>
      <c r="D2" s="49">
        <f>COUNTIFS((Kõik!C8:C244),"=C",(Kõik!G8:G244),"=Harjumaa")</f>
        <v>63</v>
      </c>
      <c r="E2" s="50">
        <f>SUM(B2:D2)</f>
        <v>97</v>
      </c>
    </row>
    <row r="3" spans="1:5" x14ac:dyDescent="0.25">
      <c r="A3" s="42" t="s">
        <v>398</v>
      </c>
      <c r="B3" s="44">
        <f>COUNTIFS((Kõik!C8:C244),"=A",(Kõik!G8:G244),"=Hiiumaa")</f>
        <v>0</v>
      </c>
      <c r="C3" s="41">
        <f>COUNTIFS((Kõik!C8:C244),"=B",(Kõik!G8:G244),"=Hiiumaa")</f>
        <v>0</v>
      </c>
      <c r="D3" s="45">
        <f>COUNTIFS((Kõik!C8:C244),"=C",(Kõik!G8:G244),"=Hiiumaa")</f>
        <v>0</v>
      </c>
      <c r="E3" s="43">
        <f t="shared" ref="E3:E17" si="0">SUM(B3:D3)</f>
        <v>0</v>
      </c>
    </row>
    <row r="4" spans="1:5" x14ac:dyDescent="0.25">
      <c r="A4" s="42" t="s">
        <v>61</v>
      </c>
      <c r="B4" s="44">
        <f>COUNTIFS((Kõik!C8:C244),"=A",(Kõik!G8:G244),"=Ida-Virumaa")</f>
        <v>12</v>
      </c>
      <c r="C4" s="41">
        <f>COUNTIFS((Kõik!C8:C244),"=B",(Kõik!G8:G244),"=Ida-Virumaa")</f>
        <v>4</v>
      </c>
      <c r="D4" s="45">
        <f>COUNTIFS((Kõik!C8:C244),"=C",(Kõik!G8:G244),"=Ida-Virumaa")</f>
        <v>13</v>
      </c>
      <c r="E4" s="43">
        <f t="shared" si="0"/>
        <v>29</v>
      </c>
    </row>
    <row r="5" spans="1:5" x14ac:dyDescent="0.25">
      <c r="A5" s="42" t="s">
        <v>107</v>
      </c>
      <c r="B5" s="44">
        <f>COUNTIFS((Kõik!C8:C244),"=A",(Kõik!G8:G244),"=Jõgevamaa")</f>
        <v>0</v>
      </c>
      <c r="C5" s="41">
        <f>COUNTIFS((Kõik!C8:C244),"=B",(Kõik!G8:G244),"=Jõgevamaa")</f>
        <v>1</v>
      </c>
      <c r="D5" s="45">
        <f>COUNTIFS((Kõik!C8:C244),"=C",(Kõik!G8:G244),"=Jõgevamaa")</f>
        <v>3</v>
      </c>
      <c r="E5" s="43">
        <f t="shared" si="0"/>
        <v>4</v>
      </c>
    </row>
    <row r="6" spans="1:5" x14ac:dyDescent="0.25">
      <c r="A6" s="42" t="s">
        <v>305</v>
      </c>
      <c r="B6" s="44">
        <f>COUNTIFS((Kõik!C8:C244),"=A",(Kõik!G8:G244),"=Järvamaa")</f>
        <v>0</v>
      </c>
      <c r="C6" s="41">
        <f>COUNTIFS((Kõik!C8:C244),"=B",(Kõik!G8:G244),"=Järvamaa")</f>
        <v>0</v>
      </c>
      <c r="D6" s="45">
        <f>COUNTIFS((Kõik!C8:C244),"=C",(Kõik!G8:G244),"=Järvamaa")</f>
        <v>7</v>
      </c>
      <c r="E6" s="43">
        <f t="shared" si="0"/>
        <v>7</v>
      </c>
    </row>
    <row r="7" spans="1:5" x14ac:dyDescent="0.25">
      <c r="A7" s="42" t="s">
        <v>316</v>
      </c>
      <c r="B7" s="44">
        <f>COUNTIFS((Kõik!C8:C244),"=A",(Kõik!G8:G244),"=Läänemaa")</f>
        <v>0</v>
      </c>
      <c r="C7" s="41">
        <f>COUNTIFS((Kõik!C8:C244),"=B",(Kõik!G8:G244),"=Läänemaa")</f>
        <v>0</v>
      </c>
      <c r="D7" s="45">
        <f>COUNTIFS((Kõik!C8:C244),"=C",(Kõik!G8:G244),"=Läänemaa")</f>
        <v>3</v>
      </c>
      <c r="E7" s="43">
        <f t="shared" si="0"/>
        <v>3</v>
      </c>
    </row>
    <row r="8" spans="1:5" x14ac:dyDescent="0.25">
      <c r="A8" s="42" t="s">
        <v>75</v>
      </c>
      <c r="B8" s="44">
        <f>COUNTIFS((Kõik!C8:C244),"=A",(Kõik!G8:G244),"=Lääne-Virumaa")</f>
        <v>2</v>
      </c>
      <c r="C8" s="41">
        <f>COUNTIFS((Kõik!C8:C244),"=B",(Kõik!G8:G244),"=Lääne-Virumaa")</f>
        <v>3</v>
      </c>
      <c r="D8" s="45">
        <f>COUNTIFS((Kõik!C8:C244),"=C",(Kõik!G8:G244),"=Lääne-Virumaa")</f>
        <v>15</v>
      </c>
      <c r="E8" s="43">
        <f t="shared" si="0"/>
        <v>20</v>
      </c>
    </row>
    <row r="9" spans="1:5" x14ac:dyDescent="0.25">
      <c r="A9" s="42" t="s">
        <v>327</v>
      </c>
      <c r="B9" s="44">
        <f>COUNTIFS((Kõik!C8:C244),"=A",(Kõik!G8:G244),"=Põlvamaa")</f>
        <v>0</v>
      </c>
      <c r="C9" s="41">
        <f>COUNTIFS((Kõik!C8:C244),"=B",(Kõik!G8:G244),"=Põlvamaa")</f>
        <v>0</v>
      </c>
      <c r="D9" s="45">
        <f>COUNTIFS((Kõik!C8:C244),"=C",(Kõik!G8:G244),"=Põlvamaa")</f>
        <v>3</v>
      </c>
      <c r="E9" s="43">
        <f t="shared" si="0"/>
        <v>3</v>
      </c>
    </row>
    <row r="10" spans="1:5" x14ac:dyDescent="0.25">
      <c r="A10" s="42" t="s">
        <v>72</v>
      </c>
      <c r="B10" s="44">
        <f>COUNTIFS((Kõik!C8:C244),"=A",(Kõik!G8:G244),"=Pärnumaa")</f>
        <v>0</v>
      </c>
      <c r="C10" s="41">
        <f>COUNTIFS((Kõik!C8:C244),"=B",(Kõik!G8:G244),"=Pärnumaa")</f>
        <v>1</v>
      </c>
      <c r="D10" s="45">
        <f>COUNTIFS((Kõik!C8:C244),"=C",(Kõik!G8:G244),"=Pärnumaa")</f>
        <v>9</v>
      </c>
      <c r="E10" s="43">
        <f t="shared" si="0"/>
        <v>10</v>
      </c>
    </row>
    <row r="11" spans="1:5" x14ac:dyDescent="0.25">
      <c r="A11" s="42" t="s">
        <v>283</v>
      </c>
      <c r="B11" s="44">
        <f>COUNTIFS((Kõik!C8:C244),"=A",(Kõik!G8:G244),"=Raplamaa")</f>
        <v>0</v>
      </c>
      <c r="C11" s="41">
        <f>COUNTIFS((Kõik!C8:C244),"=B",(Kõik!G8:G244),"=Raplamaa")</f>
        <v>0</v>
      </c>
      <c r="D11" s="45">
        <f>COUNTIFS((Kõik!C8:C244),"=C",(Kõik!G8:G244),"=Raplamaa")</f>
        <v>7</v>
      </c>
      <c r="E11" s="43">
        <f t="shared" si="0"/>
        <v>7</v>
      </c>
    </row>
    <row r="12" spans="1:5" x14ac:dyDescent="0.25">
      <c r="A12" s="42" t="s">
        <v>260</v>
      </c>
      <c r="B12" s="44">
        <f>COUNTIFS((Kõik!C8:C244),"=A",(Kõik!G8:G244),"=Saaremaa")</f>
        <v>0</v>
      </c>
      <c r="C12" s="41">
        <f>COUNTIFS((Kõik!C8:C244),"=B",(Kõik!G8:G244),"=Saaremaa")</f>
        <v>1</v>
      </c>
      <c r="D12" s="45">
        <f>COUNTIFS((Kõik!C8:C244),"=C",(Kõik!G8:G244),"=Saaremaa")</f>
        <v>6</v>
      </c>
      <c r="E12" s="43">
        <f t="shared" si="0"/>
        <v>7</v>
      </c>
    </row>
    <row r="13" spans="1:5" x14ac:dyDescent="0.25">
      <c r="A13" s="42" t="s">
        <v>69</v>
      </c>
      <c r="B13" s="44">
        <f>COUNTIFS((Kõik!C8:C244),"=A",(Kõik!G8:G244),"=Tartumaa")</f>
        <v>2</v>
      </c>
      <c r="C13" s="41">
        <f>COUNTIFS((Kõik!C8:C244),"=B",(Kõik!G8:G244),"=Tartumaa")</f>
        <v>0</v>
      </c>
      <c r="D13" s="45">
        <f>COUNTIFS((Kõik!C8:C244),"=C",(Kõik!G8:G244),"=Tartumaa")</f>
        <v>27</v>
      </c>
      <c r="E13" s="43">
        <f t="shared" si="0"/>
        <v>29</v>
      </c>
    </row>
    <row r="14" spans="1:5" x14ac:dyDescent="0.25">
      <c r="A14" s="42" t="s">
        <v>292</v>
      </c>
      <c r="B14" s="44">
        <f>COUNTIFS((Kõik!C8:C244),"=A",(Kõik!G8:G244),"=Valgamaa")</f>
        <v>0</v>
      </c>
      <c r="C14" s="41">
        <f>COUNTIFS((Kõik!C8:C244),"=B",(Kõik!G8:G244),"=Valgamaa")</f>
        <v>1</v>
      </c>
      <c r="D14" s="45">
        <f>COUNTIFS((Kõik!C8:C244),"=C",(Kõik!G8:G244),"=Valgamaa")</f>
        <v>4</v>
      </c>
      <c r="E14" s="43">
        <f t="shared" si="0"/>
        <v>5</v>
      </c>
    </row>
    <row r="15" spans="1:5" x14ac:dyDescent="0.25">
      <c r="A15" s="42" t="s">
        <v>66</v>
      </c>
      <c r="B15" s="44">
        <f>COUNTIFS((Kõik!C8:C244),"=A",(Kõik!G8:G244),"=Viljandimaa")</f>
        <v>0</v>
      </c>
      <c r="C15" s="41">
        <f>COUNTIFS((Kõik!C8:C244),"=B",(Kõik!G8:G244),"=Viljandimaa")</f>
        <v>3</v>
      </c>
      <c r="D15" s="45">
        <f>COUNTIFS((Kõik!C8:C244),"=C",(Kõik!G8:G244),"=Viljandimaa")</f>
        <v>6</v>
      </c>
      <c r="E15" s="43">
        <f t="shared" si="0"/>
        <v>9</v>
      </c>
    </row>
    <row r="16" spans="1:5" ht="15.75" thickBot="1" x14ac:dyDescent="0.3">
      <c r="A16" s="53" t="s">
        <v>346</v>
      </c>
      <c r="B16" s="54">
        <f>COUNTIFS((Kõik!C8:C244),"=A",(Kõik!G8:G244),"=Võrumaa")</f>
        <v>0</v>
      </c>
      <c r="C16" s="55">
        <f>COUNTIFS((Kõik!C8:C244),"=B",(Kõik!G8:G244),"=Võrumaa")</f>
        <v>1</v>
      </c>
      <c r="D16" s="56">
        <f>COUNTIFS((Kõik!C8:C244),"=C",(Kõik!G8:G244),"=Võrumaa")</f>
        <v>5</v>
      </c>
      <c r="E16" s="57">
        <f t="shared" si="0"/>
        <v>6</v>
      </c>
    </row>
    <row r="17" spans="1:5" ht="15.75" thickBot="1" x14ac:dyDescent="0.3">
      <c r="A17" s="60" t="s">
        <v>399</v>
      </c>
      <c r="B17" s="58">
        <f>SUM(B2:B16)</f>
        <v>32</v>
      </c>
      <c r="C17" s="51">
        <f>SUM(C2:C16)</f>
        <v>33</v>
      </c>
      <c r="D17" s="52">
        <f>SUM(D2:D16)</f>
        <v>171</v>
      </c>
      <c r="E17" s="61">
        <f t="shared" si="0"/>
        <v>236</v>
      </c>
    </row>
  </sheetData>
  <sheetProtection algorithmName="SHA-512" hashValue="hqjFdXQGey2gtEgSC87tTQSEbQ/0+ONoyt9zjgiPYdlAqZh1x0WoRxP5iwEhQhlDJdnIvjP+E30aHU5jnatABQ==" saltValue="GhQdmGQsDUli2IXMHA3ggQ==" spinCount="100000" sheet="1" objects="1" scenarios="1" selectLockedCells="1" selectUnlockedCells="1"/>
  <sortState ref="A2:D16">
    <sortCondition ref="A2"/>
  </sortState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30"/>
  <sheetViews>
    <sheetView workbookViewId="0">
      <selection activeCell="Q32" sqref="Q32"/>
    </sheetView>
  </sheetViews>
  <sheetFormatPr defaultRowHeight="15" x14ac:dyDescent="0.25"/>
  <cols>
    <col min="1" max="1" width="14.7109375" bestFit="1" customWidth="1"/>
    <col min="2" max="3" width="3" bestFit="1" customWidth="1"/>
    <col min="4" max="4" width="4" bestFit="1" customWidth="1"/>
    <col min="5" max="5" width="7.28515625" bestFit="1" customWidth="1"/>
    <col min="15" max="15" width="11.28515625" customWidth="1"/>
  </cols>
  <sheetData>
    <row r="1" spans="1:5" ht="15.75" thickBot="1" x14ac:dyDescent="0.3">
      <c r="A1" s="62" t="s">
        <v>454</v>
      </c>
      <c r="B1" s="66" t="s">
        <v>114</v>
      </c>
      <c r="C1" s="67" t="s">
        <v>112</v>
      </c>
      <c r="D1" s="68" t="s">
        <v>113</v>
      </c>
      <c r="E1" s="62" t="s">
        <v>399</v>
      </c>
    </row>
    <row r="2" spans="1:5" x14ac:dyDescent="0.25">
      <c r="A2" s="80" t="s">
        <v>400</v>
      </c>
      <c r="B2" s="75">
        <f>COUNTIFS((Kõik!C8:C244),"=A",(Kõik!E8:E244),"=Alkohol")</f>
        <v>0</v>
      </c>
      <c r="C2" s="76">
        <f>COUNTIFS((Kõik!C8:C244),"=B",(Kõik!E8:E244),"=Alkohol")</f>
        <v>0</v>
      </c>
      <c r="D2" s="81">
        <f>COUNTIFS((Kõik!C8:C244),"=C",(Kõik!E8:E244),"=Alkohol")</f>
        <v>3</v>
      </c>
      <c r="E2" s="82">
        <f>SUM(B2:D2)</f>
        <v>3</v>
      </c>
    </row>
    <row r="3" spans="1:5" x14ac:dyDescent="0.25">
      <c r="A3" s="83" t="s">
        <v>402</v>
      </c>
      <c r="B3" s="75">
        <f>COUNTIFS((Kõik!C8:C244),"=A",(Kõik!E8:E244),"=Ammoniaak")</f>
        <v>1</v>
      </c>
      <c r="C3" s="72">
        <f>COUNTIFS((Kõik!C8:C244),"=B",(Kõik!E8:E244),"=Ammoniaak")</f>
        <v>0</v>
      </c>
      <c r="D3" s="84">
        <f>COUNTIFS((Kõik!C8:C244),"=C",(Kõik!E8:E244),"=Ammoniaak")</f>
        <v>0</v>
      </c>
      <c r="E3" s="85">
        <f t="shared" ref="E3:E30" si="0">SUM(B3:D3)</f>
        <v>1</v>
      </c>
    </row>
    <row r="4" spans="1:5" x14ac:dyDescent="0.25">
      <c r="A4" s="83" t="s">
        <v>277</v>
      </c>
      <c r="B4" s="75">
        <f>COUNTIFS((Kõik!C8:C244),"=A",(Kõik!E8:E244),"=Autokeemia")</f>
        <v>0</v>
      </c>
      <c r="C4" s="72">
        <f>COUNTIFS((Kõik!C8:C244),"=B",(Kõik!E8:E244),"=Autokeemia")</f>
        <v>0</v>
      </c>
      <c r="D4" s="84">
        <f>COUNTIFS((Kõik!C8:C244),"=C",(Kõik!E8:E244),"=Autokeemia")</f>
        <v>3</v>
      </c>
      <c r="E4" s="85">
        <f t="shared" si="0"/>
        <v>3</v>
      </c>
    </row>
    <row r="5" spans="1:5" x14ac:dyDescent="0.25">
      <c r="A5" s="83" t="s">
        <v>255</v>
      </c>
      <c r="B5" s="75">
        <f>COUNTIFS((Kõik!C8:C244),"=A",(Kõik!E8:E244),"=Bensoehape")</f>
        <v>0</v>
      </c>
      <c r="C5" s="72">
        <f>COUNTIFS((Kõik!C8:C244),"=B",(Kõik!E8:E244),"=Bensoehape")</f>
        <v>1</v>
      </c>
      <c r="D5" s="84">
        <f>COUNTIFS((Kõik!C8:C244),"=C",(Kõik!E8:E244),"=Bensoehape")</f>
        <v>0</v>
      </c>
      <c r="E5" s="85">
        <f t="shared" si="0"/>
        <v>1</v>
      </c>
    </row>
    <row r="6" spans="1:5" x14ac:dyDescent="0.25">
      <c r="A6" s="83" t="s">
        <v>385</v>
      </c>
      <c r="B6" s="75">
        <f>COUNTIFS((Kõik!C8:C244),"=A",(Kõik!E8:E244),"=Biokütus")</f>
        <v>0</v>
      </c>
      <c r="C6" s="72">
        <f>COUNTIFS((Kõik!C8:C244),"=B",(Kõik!E8:E244),"=Biokütus")</f>
        <v>0</v>
      </c>
      <c r="D6" s="84">
        <f>COUNTIFS((Kõik!C8:C244),"=C",(Kõik!E8:E244),"=Biokütus")</f>
        <v>0</v>
      </c>
      <c r="E6" s="85">
        <f t="shared" si="0"/>
        <v>0</v>
      </c>
    </row>
    <row r="7" spans="1:5" x14ac:dyDescent="0.25">
      <c r="A7" s="83" t="s">
        <v>538</v>
      </c>
      <c r="B7" s="75">
        <f>COUNTIFS((Kõik!C8:C244),"=A",(Kõik!E8:E244),"=Diiselkütus")</f>
        <v>0</v>
      </c>
      <c r="C7" s="72">
        <f>COUNTIFS((Kõik!C8:C244),"=B",(Kõik!E8:E244),"=Diiselkütus")</f>
        <v>1</v>
      </c>
      <c r="D7" s="84">
        <f>COUNTIFS((Kõik!C8:C244),"=C",(Kõik!E8:E244),"=Diiselkütus")</f>
        <v>0</v>
      </c>
      <c r="E7" s="85">
        <f t="shared" ref="E7" si="1">SUM(B7:D7)</f>
        <v>1</v>
      </c>
    </row>
    <row r="8" spans="1:5" x14ac:dyDescent="0.25">
      <c r="A8" s="83" t="s">
        <v>188</v>
      </c>
      <c r="B8" s="75">
        <f>COUNTIFS((Kõik!C8:C244),"=A",(Kõik!E8:E244),"=Gaas")</f>
        <v>2</v>
      </c>
      <c r="C8" s="72">
        <f>COUNTIFS((Kõik!C8:C244),"=B",(Kõik!E8:E244),"=Gaas")</f>
        <v>3</v>
      </c>
      <c r="D8" s="84">
        <f>COUNTIFS((Kõik!C8:C244),"=C",(Kõik!E8:E244),"=Gaas")</f>
        <v>53</v>
      </c>
      <c r="E8" s="85">
        <f t="shared" si="0"/>
        <v>58</v>
      </c>
    </row>
    <row r="9" spans="1:5" x14ac:dyDescent="0.25">
      <c r="A9" s="83" t="s">
        <v>203</v>
      </c>
      <c r="B9" s="75">
        <f>COUNTIFS((Kõik!C8:C244),"=A",(Kõik!E8:E244),"=Galvaanika")</f>
        <v>0</v>
      </c>
      <c r="C9" s="72">
        <f>COUNTIFS((Kõik!C8:C244),"=B",(Kõik!E8:E244),"=Galvaanika")</f>
        <v>1</v>
      </c>
      <c r="D9" s="84">
        <f>COUNTIFS((Kõik!C8:C244),"=C",(Kõik!E8:E244),"=Galvaanika")</f>
        <v>4</v>
      </c>
      <c r="E9" s="85">
        <f t="shared" si="0"/>
        <v>5</v>
      </c>
    </row>
    <row r="10" spans="1:5" x14ac:dyDescent="0.25">
      <c r="A10" s="83" t="s">
        <v>252</v>
      </c>
      <c r="B10" s="75">
        <f>COUNTIFS((Kõik!C8:C244),"=A",(Kõik!E8:E244),"=Hulgimüük")</f>
        <v>0</v>
      </c>
      <c r="C10" s="72">
        <f>COUNTIFS((Kõik!C8:C244),"=B",(Kõik!E8:E244),"=Hulgimüük")</f>
        <v>0</v>
      </c>
      <c r="D10" s="84">
        <f>COUNTIFS((Kõik!C8:C244),"=C",(Kõik!E8:E244),"=Hulgimüük")</f>
        <v>5</v>
      </c>
      <c r="E10" s="85">
        <f t="shared" si="0"/>
        <v>5</v>
      </c>
    </row>
    <row r="11" spans="1:5" x14ac:dyDescent="0.25">
      <c r="A11" s="83" t="s">
        <v>357</v>
      </c>
      <c r="B11" s="75">
        <f>COUNTIFS((Kõik!C8:C244),"=A",(Kõik!E8:E244),"=Jäätmed")</f>
        <v>1</v>
      </c>
      <c r="C11" s="72">
        <f>COUNTIFS((Kõik!C8:C244),"=B",(Kõik!E8:E244),"=Jäätmed")</f>
        <v>1</v>
      </c>
      <c r="D11" s="84">
        <f>COUNTIFS((Kõik!C8:C244),"=C",(Kõik!E8:E244),"=Jäätmed")</f>
        <v>2</v>
      </c>
      <c r="E11" s="85">
        <f t="shared" si="0"/>
        <v>4</v>
      </c>
    </row>
    <row r="12" spans="1:5" x14ac:dyDescent="0.25">
      <c r="A12" s="83" t="s">
        <v>250</v>
      </c>
      <c r="B12" s="75">
        <f>COUNTIFS((Kõik!C8:C244),"=A",(Kõik!E8:E244),"=Katlamaja")</f>
        <v>0</v>
      </c>
      <c r="C12" s="72">
        <f>COUNTIFS((Kõik!C8:C244),"=B",(Kõik!E8:E244),"=Katlamaja")</f>
        <v>1</v>
      </c>
      <c r="D12" s="84">
        <f>COUNTIFS((Kõik!C8:C244),"=C",(Kõik!E8:E244),"=Katlamaja")</f>
        <v>3</v>
      </c>
      <c r="E12" s="85">
        <f t="shared" si="0"/>
        <v>4</v>
      </c>
    </row>
    <row r="13" spans="1:5" x14ac:dyDescent="0.25">
      <c r="A13" s="83" t="s">
        <v>187</v>
      </c>
      <c r="B13" s="75">
        <f>COUNTIFS((Kõik!C8:C244),"=A",(Kõik!E8:E244),"=Kloor")</f>
        <v>0</v>
      </c>
      <c r="C13" s="72">
        <f>COUNTIFS((Kõik!C8:C244),"=B",(Kõik!E8:E244),"=Kloor")</f>
        <v>1</v>
      </c>
      <c r="D13" s="84">
        <f>COUNTIFS((Kõik!C8:C244),"=C",(Kõik!E8:E244),"=Kloor")</f>
        <v>1</v>
      </c>
      <c r="E13" s="85">
        <f t="shared" si="0"/>
        <v>2</v>
      </c>
    </row>
    <row r="14" spans="1:5" x14ac:dyDescent="0.25">
      <c r="A14" s="83" t="s">
        <v>186</v>
      </c>
      <c r="B14" s="75">
        <f>COUNTIFS((Kõik!C8:C244),"=A",(Kõik!E8:E244),"=Kroom")</f>
        <v>1</v>
      </c>
      <c r="C14" s="72">
        <f>COUNTIFS((Kõik!C8:C244),"=B",(Kõik!E8:E244),"=Kroom")</f>
        <v>0</v>
      </c>
      <c r="D14" s="84">
        <f>COUNTIFS((Kõik!C8:C244),"=C",(Kõik!E8:E244),"=Kroom")</f>
        <v>0</v>
      </c>
      <c r="E14" s="85">
        <f t="shared" si="0"/>
        <v>1</v>
      </c>
    </row>
    <row r="15" spans="1:5" x14ac:dyDescent="0.25">
      <c r="A15" s="83" t="s">
        <v>193</v>
      </c>
      <c r="B15" s="75">
        <f>COUNTIFS((Kõik!C8:C244),"=A",(Kõik!E8:E244),"=Külmhoone")</f>
        <v>0</v>
      </c>
      <c r="C15" s="72">
        <f>COUNTIFS((Kõik!C8:C244),"=B",(Kõik!E8:E244),"=Külmhoone")</f>
        <v>0</v>
      </c>
      <c r="D15" s="84">
        <f>COUNTIFS((Kõik!C8:C244),"=C",(Kõik!E8:E244),"=Külmhoone")</f>
        <v>27</v>
      </c>
      <c r="E15" s="85">
        <f t="shared" si="0"/>
        <v>27</v>
      </c>
    </row>
    <row r="16" spans="1:5" x14ac:dyDescent="0.25">
      <c r="A16" s="83" t="s">
        <v>228</v>
      </c>
      <c r="B16" s="75">
        <f>COUNTIFS((Kõik!C8:C244),"=A",(Kõik!E8:E244),"=Lõhkematerjal")</f>
        <v>3</v>
      </c>
      <c r="C16" s="72">
        <f>COUNTIFS((Kõik!C8:C244),"=B",(Kõik!E8:E244),"=Lõhkematerjal")</f>
        <v>0</v>
      </c>
      <c r="D16" s="84">
        <f>COUNTIFS((Kõik!C8:C244),"=C",(Kõik!E8:E244),"=Lõhkematerjal")</f>
        <v>1</v>
      </c>
      <c r="E16" s="85">
        <f t="shared" si="0"/>
        <v>4</v>
      </c>
    </row>
    <row r="17" spans="1:5" x14ac:dyDescent="0.25">
      <c r="A17" s="83" t="s">
        <v>211</v>
      </c>
      <c r="B17" s="75">
        <f>COUNTIFS((Kõik!C8:C244),"=A",(Kõik!E8:E244),"=Muldmetallid")</f>
        <v>1</v>
      </c>
      <c r="C17" s="72">
        <f>COUNTIFS((Kõik!C8:C244),"=B",(Kõik!E8:E244),"=Muldmetallid")</f>
        <v>0</v>
      </c>
      <c r="D17" s="84">
        <f>COUNTIFS((Kõik!C8:C244),"=C",(Kõik!E8:E244),"=Muldmetallid")</f>
        <v>0</v>
      </c>
      <c r="E17" s="85">
        <f t="shared" si="0"/>
        <v>1</v>
      </c>
    </row>
    <row r="18" spans="1:5" x14ac:dyDescent="0.25">
      <c r="A18" s="83" t="s">
        <v>693</v>
      </c>
      <c r="B18" s="75">
        <f>COUNTIFS((Kõik!C8:C244),"=A",(Kõik!E8:E244),"=Paber")</f>
        <v>0</v>
      </c>
      <c r="C18" s="72">
        <f>COUNTIFS((Kõik!C8:C244),"=B",(Kõik!E8:E244),"=Paber")</f>
        <v>0</v>
      </c>
      <c r="D18" s="84">
        <f>COUNTIFS((Kõik!C8:C244),"=C",(Kõik!E8:E244),"=Paber")</f>
        <v>1</v>
      </c>
      <c r="E18" s="85">
        <f t="shared" ref="E18" si="2">SUM(B18:D18)</f>
        <v>1</v>
      </c>
    </row>
    <row r="19" spans="1:5" x14ac:dyDescent="0.25">
      <c r="A19" s="83" t="s">
        <v>692</v>
      </c>
      <c r="B19" s="75">
        <f>COUNTIFS((Kõik!C8:C244),"=A",(Kõik!E8:E244),"=Poroloon")</f>
        <v>0</v>
      </c>
      <c r="C19" s="72">
        <f>COUNTIFS((Kõik!C8:C244),"=B",(Kõik!E8:E244),"=Poroloon")</f>
        <v>2</v>
      </c>
      <c r="D19" s="84">
        <f>COUNTIFS((Kõik!C8:C244),"=C",(Kõik!E8:E244),"=Poroloon")</f>
        <v>0</v>
      </c>
      <c r="E19" s="85">
        <f t="shared" ref="E19" si="3">SUM(B19:D19)</f>
        <v>2</v>
      </c>
    </row>
    <row r="20" spans="1:5" x14ac:dyDescent="0.25">
      <c r="A20" s="83" t="s">
        <v>184</v>
      </c>
      <c r="B20" s="75">
        <f>COUNTIFS((Kõik!C8:C244),"=A",(Kõik!E8:E244),"=Põlevkiviõli")</f>
        <v>4</v>
      </c>
      <c r="C20" s="72">
        <f>COUNTIFS((Kõik!C8:C244),"=B",(Kõik!E8:E244),"=Põlevkiviõli")</f>
        <v>2</v>
      </c>
      <c r="D20" s="84">
        <f>COUNTIFS((Kõik!C8:C244),"=C",(Kõik!E8:E244),"=Põlevkiviõli")</f>
        <v>2</v>
      </c>
      <c r="E20" s="85">
        <f t="shared" si="0"/>
        <v>8</v>
      </c>
    </row>
    <row r="21" spans="1:5" x14ac:dyDescent="0.25">
      <c r="A21" s="83" t="s">
        <v>695</v>
      </c>
      <c r="B21" s="75">
        <f>COUNTIFS((Kõik!C8:C244),"=A",(Kõik!E8:E244),"=Pärm")</f>
        <v>0</v>
      </c>
      <c r="C21" s="72">
        <f>COUNTIFS((Kõik!C8:C244),"=B",(Kõik!E8:E244),"=Pärm")</f>
        <v>0</v>
      </c>
      <c r="D21" s="84">
        <f>COUNTIFS((Kõik!C8:C244),"=C",(Kõik!E8:E244),"=Pärm")</f>
        <v>1</v>
      </c>
      <c r="E21" s="85">
        <f t="shared" ref="E21" si="4">SUM(B21:D21)</f>
        <v>1</v>
      </c>
    </row>
    <row r="22" spans="1:5" x14ac:dyDescent="0.25">
      <c r="A22" s="83" t="s">
        <v>227</v>
      </c>
      <c r="B22" s="75">
        <f>COUNTIFS((Kõik!C8:C244),"=A",(Kõik!E8:E244),"=Pürotehnika")</f>
        <v>0</v>
      </c>
      <c r="C22" s="72">
        <f>COUNTIFS((Kõik!C8:C244),"=B",(Kõik!E8:E244),"=Pürotehnika")</f>
        <v>5</v>
      </c>
      <c r="D22" s="84">
        <f>COUNTIFS((Kõik!C8:C244),"=C",(Kõik!E8:E244),"=Pürotehnika")</f>
        <v>5</v>
      </c>
      <c r="E22" s="85">
        <f t="shared" si="0"/>
        <v>10</v>
      </c>
    </row>
    <row r="23" spans="1:5" x14ac:dyDescent="0.25">
      <c r="A23" s="83" t="s">
        <v>325</v>
      </c>
      <c r="B23" s="75">
        <f>COUNTIFS((Kõik!C8:C244),"=A",(Kõik!E8:E244),"=Tankla")</f>
        <v>0</v>
      </c>
      <c r="C23" s="72">
        <f>COUNTIFS((Kõik!C8:C244),"=B",(Kõik!E8:E244),"=Tankla")</f>
        <v>0</v>
      </c>
      <c r="D23" s="84">
        <f>COUNTIFS((Kõik!C8:C244),"=C",(Kõik!E8:E244),"=Tankla")</f>
        <v>49</v>
      </c>
      <c r="E23" s="85">
        <f t="shared" si="0"/>
        <v>49</v>
      </c>
    </row>
    <row r="24" spans="1:5" x14ac:dyDescent="0.25">
      <c r="A24" s="83" t="s">
        <v>182</v>
      </c>
      <c r="B24" s="75">
        <f>COUNTIFS((Kõik!C8:C244),"=A",(Kõik!E8:E244),"=Terminal")</f>
        <v>15</v>
      </c>
      <c r="C24" s="72">
        <f>COUNTIFS((Kõik!C8:C244),"=B",(Kõik!E8:E244),"=Terminal")</f>
        <v>8</v>
      </c>
      <c r="D24" s="84">
        <f>COUNTIFS((Kõik!C8:C244),"=C",(Kõik!E8:E244),"=Terminal")</f>
        <v>3</v>
      </c>
      <c r="E24" s="85">
        <f t="shared" si="0"/>
        <v>26</v>
      </c>
    </row>
    <row r="25" spans="1:5" x14ac:dyDescent="0.25">
      <c r="A25" s="83" t="s">
        <v>185</v>
      </c>
      <c r="B25" s="75">
        <f>COUNTIFS((Kõik!C8:C244),"=A",(Kõik!E8:E244),"=Vahud")</f>
        <v>0</v>
      </c>
      <c r="C25" s="72">
        <f>COUNTIFS((Kõik!C8:C244),"=B",(Kõik!E8:E244),"=Vahud")</f>
        <v>2</v>
      </c>
      <c r="D25" s="84">
        <f>COUNTIFS((Kõik!C8:C244),"=C",(Kõik!E8:E244),"=Vahud")</f>
        <v>0</v>
      </c>
      <c r="E25" s="85">
        <f t="shared" si="0"/>
        <v>2</v>
      </c>
    </row>
    <row r="26" spans="1:5" x14ac:dyDescent="0.25">
      <c r="A26" s="83" t="s">
        <v>694</v>
      </c>
      <c r="B26" s="75">
        <f>COUNTIFS((Kõik!C8:C244),"=A",(Kõik!E8:E244),"=Vaigud")</f>
        <v>0</v>
      </c>
      <c r="C26" s="72">
        <f>COUNTIFS((Kõik!C8:C244),"=B",(Kõik!E8:E244),"=Vaigud")</f>
        <v>0</v>
      </c>
      <c r="D26" s="84">
        <f>COUNTIFS((Kõik!C8:C244),"=C",(Kõik!E8:E244),"=Vaigud")</f>
        <v>1</v>
      </c>
      <c r="E26" s="85">
        <f>SUM(B26:D26)</f>
        <v>1</v>
      </c>
    </row>
    <row r="27" spans="1:5" x14ac:dyDescent="0.25">
      <c r="A27" s="83" t="s">
        <v>537</v>
      </c>
      <c r="B27" s="75">
        <f>COUNTIFS((Kõik!C8:C244),"=A",(Kõik!E8:E244),"=Vesinikperoksiid")</f>
        <v>1</v>
      </c>
      <c r="C27" s="72">
        <f>COUNTIFS((Kõik!C8:C244),"=B",(Kõik!E8:E244),"=Vesinikperoksiid")</f>
        <v>0</v>
      </c>
      <c r="D27" s="84">
        <f>COUNTIFS((Kõik!C8:C244),"=C",(Kõik!E8:E244),"=Vesinkperoksiid")</f>
        <v>0</v>
      </c>
      <c r="E27" s="85">
        <f>SUM(B27:D27)</f>
        <v>1</v>
      </c>
    </row>
    <row r="28" spans="1:5" x14ac:dyDescent="0.25">
      <c r="A28" s="83" t="s">
        <v>183</v>
      </c>
      <c r="B28" s="75">
        <f>COUNTIFS((Kõik!C8:C244),"=A",(Kõik!E8:E244),"=Väetised")</f>
        <v>3</v>
      </c>
      <c r="C28" s="72">
        <f>COUNTIFS((Kõik!C8:C244),"=B",(Kõik!E8:E244),"=Väetised")</f>
        <v>4</v>
      </c>
      <c r="D28" s="84">
        <f>COUNTIFS((Kõik!C8:C244),"=C",(Kõik!E8:E244),"=Väetised")</f>
        <v>1</v>
      </c>
      <c r="E28" s="85">
        <f t="shared" si="0"/>
        <v>8</v>
      </c>
    </row>
    <row r="29" spans="1:5" ht="15.75" thickBot="1" x14ac:dyDescent="0.3">
      <c r="A29" s="86" t="s">
        <v>282</v>
      </c>
      <c r="B29" s="75">
        <f>COUNTIFS((Kõik!C8:C244),"=A",(Kõik!E8:E244),"=Värvid")</f>
        <v>0</v>
      </c>
      <c r="C29" s="79">
        <f>COUNTIFS((Kõik!C8:C244),"=B",(Kõik!E8:E244),"=Värvid")</f>
        <v>0</v>
      </c>
      <c r="D29" s="87">
        <f>COUNTIFS((Kõik!C8:C244),"=C",(Kõik!E8:E244),"=Värvid")</f>
        <v>3</v>
      </c>
      <c r="E29" s="88">
        <f t="shared" si="0"/>
        <v>3</v>
      </c>
    </row>
    <row r="30" spans="1:5" ht="15.75" thickBot="1" x14ac:dyDescent="0.3">
      <c r="A30" s="73" t="s">
        <v>399</v>
      </c>
      <c r="B30" s="66">
        <f>SUM(B2:B29)</f>
        <v>32</v>
      </c>
      <c r="C30" s="67">
        <f>SUM(C2:C29)</f>
        <v>32</v>
      </c>
      <c r="D30" s="68">
        <f>SUM(D2:D29)</f>
        <v>168</v>
      </c>
      <c r="E30" s="62">
        <f t="shared" si="0"/>
        <v>232</v>
      </c>
    </row>
  </sheetData>
  <sheetProtection algorithmName="SHA-512" hashValue="glnVdqhytP7LTsgG/Pag6NbbOdloolWt694rGEhAa9zObG7KaSGtbFmC/kZA2xrme3jsOkjUPFUtRi31813bFg==" saltValue="3eKrkTNbEknqWMyoIs9gBg==" spinCount="100000" sheet="1" objects="1" scenarios="1" selectLockedCells="1" selectUnlockedCells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O8"/>
  <sheetViews>
    <sheetView workbookViewId="0">
      <selection activeCell="I30" sqref="I30"/>
    </sheetView>
  </sheetViews>
  <sheetFormatPr defaultRowHeight="15" x14ac:dyDescent="0.25"/>
  <cols>
    <col min="1" max="1" width="6.42578125" style="108" bestFit="1" customWidth="1"/>
    <col min="2" max="16384" width="9.140625" style="108"/>
  </cols>
  <sheetData>
    <row r="1" spans="1:15" x14ac:dyDescent="0.25">
      <c r="B1" s="167">
        <v>2011</v>
      </c>
      <c r="C1" s="167">
        <v>2012</v>
      </c>
      <c r="D1" s="167">
        <v>2013</v>
      </c>
      <c r="E1" s="167">
        <v>2014</v>
      </c>
      <c r="F1" s="167">
        <v>2015</v>
      </c>
      <c r="G1" s="167">
        <v>2016</v>
      </c>
      <c r="H1" s="167">
        <v>2017</v>
      </c>
      <c r="I1" s="167" t="s">
        <v>978</v>
      </c>
      <c r="J1" s="165"/>
      <c r="K1" s="164"/>
      <c r="L1" s="166"/>
      <c r="M1" s="168"/>
    </row>
    <row r="2" spans="1:15" x14ac:dyDescent="0.25">
      <c r="A2" s="108" t="s">
        <v>1184</v>
      </c>
      <c r="B2" s="105">
        <f>COUNTIFS((Kõik!O8:O244),"&lt;31.12.2011",(Kõik!O8:O244),"&gt;01.01.2011")</f>
        <v>0</v>
      </c>
      <c r="C2" s="105">
        <f>COUNTIFS((Kõik!O8:O244),"&lt;31.12.2012",(Kõik!O8:O244),"&gt;01.01.2012")</f>
        <v>0</v>
      </c>
      <c r="D2" s="105">
        <f>COUNTIFS((Kõik!O8:O244),"&lt;31.12.2013",(Kõik!O8:O244),"&gt;01.01.2013")</f>
        <v>0</v>
      </c>
      <c r="E2" s="105">
        <f>COUNTIFS((Kõik!O8:O244),"&lt;31.12.2014",(Kõik!O8:O244),"&gt;01.01.2014")</f>
        <v>7</v>
      </c>
      <c r="F2" s="105">
        <f>COUNTIFS((Kõik!O8:O244),"&lt;31.12.2015",(Kõik!O8:O244),"&gt;01.01.2015")</f>
        <v>35</v>
      </c>
      <c r="G2" s="105">
        <f>COUNTIFS((Kõik!O8:O244),"&lt;31.12.2016",(Kõik!O8:O244),"&gt;01.01.2016")</f>
        <v>140</v>
      </c>
      <c r="H2" s="105">
        <v>3</v>
      </c>
      <c r="I2" s="169">
        <f>SUM(B2:H2)</f>
        <v>185</v>
      </c>
      <c r="J2" s="108">
        <v>215</v>
      </c>
      <c r="K2" s="108">
        <v>0</v>
      </c>
      <c r="L2" s="108">
        <v>0</v>
      </c>
      <c r="M2" s="108">
        <v>2</v>
      </c>
      <c r="N2" s="108">
        <f>SUM(J2:M2)</f>
        <v>217</v>
      </c>
      <c r="O2" s="172">
        <v>11</v>
      </c>
    </row>
    <row r="3" spans="1:15" x14ac:dyDescent="0.25">
      <c r="A3" s="108" t="s">
        <v>413</v>
      </c>
      <c r="B3" s="105">
        <f>COUNTIFS((Kõik!Q8:Q244),"&lt;31.12.2011",(Kõik!Q8:Q244),"&gt;01.01.2011")</f>
        <v>0</v>
      </c>
      <c r="C3" s="105">
        <f>COUNTIFS((Kõik!Q8:Q244),"&lt;31.12.2012",(Kõik!Q8:Q244),"&gt;01.01.2012")</f>
        <v>6</v>
      </c>
      <c r="D3" s="105">
        <f>COUNTIFS((Kõik!Q8:Q244),"&lt;31.12.2013",(Kõik!Q8:Q244),"&gt;01.01.2013")</f>
        <v>32</v>
      </c>
      <c r="E3" s="105">
        <v>48</v>
      </c>
      <c r="F3" s="105">
        <f>COUNTIFS((Kõik!Q8:Q244),"&lt;31.12.2015",(Kõik!Q8:Q244),"&gt;01.01.2015")</f>
        <v>38</v>
      </c>
      <c r="G3" s="105">
        <f>COUNTIFS((Kõik!Q8:Q244),"&lt;31.12.2016",(Kõik!Q8:Q244),"&gt;01.01.2016")</f>
        <v>47</v>
      </c>
      <c r="H3" s="105">
        <v>8</v>
      </c>
      <c r="I3" s="169">
        <f t="shared" ref="I3:I7" si="0">SUM(B3:H3)</f>
        <v>179</v>
      </c>
      <c r="J3" s="108">
        <v>191</v>
      </c>
      <c r="K3" s="108">
        <v>13</v>
      </c>
      <c r="L3" s="108">
        <v>0</v>
      </c>
      <c r="M3" s="108">
        <v>13</v>
      </c>
      <c r="N3" s="108">
        <f t="shared" ref="N3:N6" si="1">SUM(J3:M3)</f>
        <v>217</v>
      </c>
      <c r="O3" s="172">
        <v>2</v>
      </c>
    </row>
    <row r="4" spans="1:15" x14ac:dyDescent="0.25">
      <c r="A4" s="108" t="s">
        <v>1185</v>
      </c>
      <c r="B4" s="105">
        <f>COUNTIFS((Kõik!S8:S244),"&lt;31.12.2011",(Kõik!S8:S244),"&gt;01.01.2011")</f>
        <v>2</v>
      </c>
      <c r="C4" s="105">
        <f>COUNTIFS((Kõik!S8:S244),"&lt;31.12.2012",(Kõik!S8:S244),"&gt;01.01.2012")</f>
        <v>2</v>
      </c>
      <c r="D4" s="105">
        <f>COUNTIFS((Kõik!S8:S244),"&lt;31.12.2013",(Kõik!S8:S244),"&gt;01.01.2013")</f>
        <v>16</v>
      </c>
      <c r="E4" s="105">
        <f>COUNTIFS((Kõik!S8:S244),"&lt;31.12.2014",(Kõik!S8:S244),"&gt;01.01.2014")</f>
        <v>43</v>
      </c>
      <c r="F4" s="105">
        <f>COUNTIFS((Kõik!S8:S244),"&lt;31.12.2015",(Kõik!S8:S244),"&gt;01.01.2015")</f>
        <v>35</v>
      </c>
      <c r="G4" s="105">
        <f>COUNTIFS((Kõik!S8:S244),"&lt;31.12.2016",(Kõik!S8:S244),"&gt;01.01.2016")</f>
        <v>32</v>
      </c>
      <c r="H4" s="105">
        <v>4</v>
      </c>
      <c r="I4" s="169">
        <f t="shared" si="0"/>
        <v>134</v>
      </c>
      <c r="J4" s="108">
        <v>166</v>
      </c>
      <c r="K4" s="108">
        <v>15</v>
      </c>
      <c r="L4" s="108">
        <v>13</v>
      </c>
      <c r="M4" s="108">
        <v>23</v>
      </c>
      <c r="N4" s="108">
        <f t="shared" si="1"/>
        <v>217</v>
      </c>
      <c r="O4" s="172">
        <v>39</v>
      </c>
    </row>
    <row r="5" spans="1:15" x14ac:dyDescent="0.25">
      <c r="A5" s="108" t="s">
        <v>1186</v>
      </c>
      <c r="B5" s="105">
        <f>COUNTIFS((Kõik!U8:U244),"&lt;31.12.2011",(Kõik!U8:U244),"&gt;01.01.2011")</f>
        <v>0</v>
      </c>
      <c r="C5" s="105">
        <f>COUNTIFS((Kõik!U8:U244),"&lt;31.12.2012",(Kõik!U8:U244),"&gt;01.01.2012")</f>
        <v>2</v>
      </c>
      <c r="D5" s="105">
        <f>COUNTIFS((Kõik!U8:U244),"&lt;31.12.2013",(Kõik!U8:U244),"&gt;01.01.2013")</f>
        <v>4</v>
      </c>
      <c r="E5" s="105">
        <f>COUNTIFS((Kõik!U8:U244),"&lt;31.12.2014",(Kõik!U8:U244),"&gt;01.01.2014")</f>
        <v>11</v>
      </c>
      <c r="F5" s="105">
        <f>COUNTIFS((Kõik!U8:U244),"&lt;31.12.2015",(Kõik!U8:U244),"&gt;01.01.2015")</f>
        <v>8</v>
      </c>
      <c r="G5" s="105">
        <f>COUNTIFS((Kõik!U8:U244),"&lt;31.12.2016",(Kõik!U8:U244),"&gt;01.01.2016")</f>
        <v>18</v>
      </c>
      <c r="H5" s="105">
        <v>3</v>
      </c>
      <c r="I5" s="169">
        <f t="shared" si="0"/>
        <v>46</v>
      </c>
      <c r="J5" s="108">
        <v>47</v>
      </c>
      <c r="K5" s="108">
        <v>6</v>
      </c>
      <c r="L5" s="108">
        <v>0</v>
      </c>
      <c r="M5" s="108">
        <v>1</v>
      </c>
      <c r="N5" s="108">
        <f t="shared" si="1"/>
        <v>54</v>
      </c>
      <c r="O5" s="172">
        <v>2</v>
      </c>
    </row>
    <row r="6" spans="1:15" x14ac:dyDescent="0.25">
      <c r="A6" s="108" t="s">
        <v>1187</v>
      </c>
      <c r="B6" s="105">
        <f>COUNTIFS((Kõik!W8:W244),"&lt;31.12.2011",(Kõik!W8:W244),"&gt;01.01.2011")</f>
        <v>0</v>
      </c>
      <c r="C6" s="105">
        <f>COUNTIFS((Kõik!W8:W244),"&lt;31.12.2012",(Kõik!W8:W244),"&gt;01.01.2012")</f>
        <v>0</v>
      </c>
      <c r="D6" s="105">
        <f>COUNTIFS((Kõik!W8:W244),"&lt;31.12.2013",(Kõik!W8:W244),"&gt;01.01.2013")</f>
        <v>3</v>
      </c>
      <c r="E6" s="105">
        <f>COUNTIFS((Kõik!W8:W244),"&lt;31.12.2014",(Kõik!W8:W244),"&gt;01.01.2014")</f>
        <v>3</v>
      </c>
      <c r="F6" s="105">
        <f>COUNTIFS((Kõik!W8:W244),"&lt;31.12.2015",(Kõik!W8:W244),"&gt;01.01.2015")</f>
        <v>4</v>
      </c>
      <c r="G6" s="105">
        <f>COUNTIFS((Kõik!W8:W244),"&lt;31.12.2016",(Kõik!W8:W244),"&gt;01.01.2016")</f>
        <v>13</v>
      </c>
      <c r="H6" s="105">
        <v>3</v>
      </c>
      <c r="I6" s="169">
        <f t="shared" si="0"/>
        <v>26</v>
      </c>
      <c r="J6" s="108">
        <v>25</v>
      </c>
      <c r="K6" s="108">
        <v>5</v>
      </c>
      <c r="L6" s="108">
        <v>0</v>
      </c>
      <c r="M6" s="108">
        <v>2</v>
      </c>
      <c r="N6" s="108">
        <f t="shared" si="1"/>
        <v>32</v>
      </c>
      <c r="O6" s="172">
        <v>0</v>
      </c>
    </row>
    <row r="7" spans="1:15" x14ac:dyDescent="0.25">
      <c r="A7" s="108" t="s">
        <v>1188</v>
      </c>
      <c r="B7" s="105">
        <f>COUNTIFS((Kõik!Z8:Z244),"&lt;31.12.2011",(Kõik!Z8:Z244),"&gt;01.01.2011")</f>
        <v>29</v>
      </c>
      <c r="C7" s="105">
        <f>COUNTIFS((Kõik!Z8:Z244),"&lt;31.12.2012",(Kõik!Z8:Z244),"&gt;01.01.2012")</f>
        <v>5</v>
      </c>
      <c r="D7" s="105">
        <f>COUNTIFS((Kõik!Z8:Z244),"&lt;31.12.2013",(Kõik!Z8:Z244),"&gt;01.01.2013")</f>
        <v>3</v>
      </c>
      <c r="E7" s="105">
        <f>COUNTIFS((Kõik!Z8:Z244),"&lt;31.12.2014",(Kõik!Z8:Z244),"&gt;01.01.2014")</f>
        <v>60</v>
      </c>
      <c r="F7" s="105">
        <f>COUNTIFS((Kõik!Z8:Z244),"&lt;31.12.2015",(Kõik!Z8:Z244),"&gt;01.01.2015")</f>
        <v>35</v>
      </c>
      <c r="G7" s="105">
        <f>COUNTIFS((Kõik!Z8:Z244),"&lt;31.12.2016",(Kõik!Z8:Z244),"&gt;01.01.2016")</f>
        <v>18</v>
      </c>
      <c r="H7" s="105">
        <v>2</v>
      </c>
      <c r="I7" s="169">
        <f t="shared" si="0"/>
        <v>152</v>
      </c>
    </row>
    <row r="8" spans="1:15" x14ac:dyDescent="0.25">
      <c r="A8" s="167" t="s">
        <v>978</v>
      </c>
      <c r="B8" s="167">
        <f t="shared" ref="B8:O8" si="2">SUM(B2:B7)</f>
        <v>31</v>
      </c>
      <c r="C8" s="167">
        <f t="shared" si="2"/>
        <v>15</v>
      </c>
      <c r="D8" s="167">
        <f t="shared" si="2"/>
        <v>58</v>
      </c>
      <c r="E8" s="167">
        <f t="shared" si="2"/>
        <v>172</v>
      </c>
      <c r="F8" s="167">
        <f t="shared" si="2"/>
        <v>155</v>
      </c>
      <c r="G8" s="167">
        <f t="shared" si="2"/>
        <v>268</v>
      </c>
      <c r="H8" s="167">
        <f t="shared" ref="H8" si="3">SUM(H2:H7)</f>
        <v>23</v>
      </c>
      <c r="I8" s="167"/>
      <c r="J8" s="167">
        <f t="shared" si="2"/>
        <v>644</v>
      </c>
      <c r="K8" s="167">
        <f t="shared" si="2"/>
        <v>39</v>
      </c>
      <c r="L8" s="167">
        <f t="shared" si="2"/>
        <v>13</v>
      </c>
      <c r="M8" s="167">
        <f t="shared" si="2"/>
        <v>41</v>
      </c>
      <c r="N8" s="167"/>
      <c r="O8" s="167">
        <f t="shared" si="2"/>
        <v>54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E19"/>
  <sheetViews>
    <sheetView workbookViewId="0">
      <selection activeCell="O15" sqref="O15"/>
    </sheetView>
  </sheetViews>
  <sheetFormatPr defaultRowHeight="15" x14ac:dyDescent="0.25"/>
  <cols>
    <col min="1" max="1" width="58.140625" bestFit="1" customWidth="1"/>
    <col min="2" max="3" width="3" bestFit="1" customWidth="1"/>
    <col min="4" max="4" width="4" bestFit="1" customWidth="1"/>
    <col min="5" max="5" width="7.28515625" bestFit="1" customWidth="1"/>
    <col min="15" max="15" width="11.28515625" customWidth="1"/>
  </cols>
  <sheetData>
    <row r="1" spans="1:5" ht="15.75" thickBot="1" x14ac:dyDescent="0.3">
      <c r="A1" s="62" t="s">
        <v>454</v>
      </c>
      <c r="B1" s="66" t="s">
        <v>114</v>
      </c>
      <c r="C1" s="67" t="s">
        <v>112</v>
      </c>
      <c r="D1" s="68" t="s">
        <v>113</v>
      </c>
      <c r="E1" s="62" t="s">
        <v>399</v>
      </c>
    </row>
    <row r="2" spans="1:5" x14ac:dyDescent="0.25">
      <c r="A2" s="80" t="s">
        <v>962</v>
      </c>
      <c r="B2" s="75">
        <f>COUNTIFS((Kõik!C8:C244),"=A",(Kõik!F8:F244),"=elektrienergia tootmine, tarnimine ja jaotamine")</f>
        <v>1</v>
      </c>
      <c r="C2" s="76">
        <f>COUNTIFS((Kõik!C8:C244),"=B",(Kõik!F8:F244),"=elektrienergia tootmine, tarnimine ja jaotamine")</f>
        <v>3</v>
      </c>
      <c r="D2" s="81">
        <f>COUNTIFS((Kõik!C8:C244),"=C",(Kõik!F8:F244),"=elektrienergia tootmine, tarnimine ja jaotamine")</f>
        <v>1</v>
      </c>
      <c r="E2" s="82">
        <f>SUM(B2:D2)</f>
        <v>5</v>
      </c>
    </row>
    <row r="3" spans="1:5" x14ac:dyDescent="0.25">
      <c r="A3" s="83" t="s">
        <v>971</v>
      </c>
      <c r="B3" s="75">
        <f>COUNTIFS((Kõik!C8:C244),"=A",(Kõik!F8:F244),"=jäätmete ladustamine, käitlemine ja kõrvaldamine")</f>
        <v>0</v>
      </c>
      <c r="C3" s="72">
        <f>COUNTIFS((Kõik!C8:C244),"=B",(Kõik!F8:F244),"=jäätmete ladustamine, käitlemine ja kõrvaldamine")</f>
        <v>0</v>
      </c>
      <c r="D3" s="84">
        <f>COUNTIFS((Kõik!C8:C244),"=C",(Kõik!F8:F244),"=jäätmete ladustamine, käitlemine ja kõrvaldamine")</f>
        <v>2</v>
      </c>
      <c r="E3" s="85">
        <f t="shared" ref="E3:E19" si="0">SUM(B3:D3)</f>
        <v>2</v>
      </c>
    </row>
    <row r="4" spans="1:5" x14ac:dyDescent="0.25">
      <c r="A4" s="83" t="s">
        <v>970</v>
      </c>
      <c r="B4" s="75">
        <f>COUNTIFS((Kõik!C8:C244),"=A",(Kõik!F8:F244),"=keemiatööstuskäitised - ammoniaak")</f>
        <v>2</v>
      </c>
      <c r="C4" s="72">
        <f>COUNTIFS((Kõik!C8:C244),"=B",(Kõik!F8:F244),"=keemiatööstuskäitised - ammoniaak")</f>
        <v>0</v>
      </c>
      <c r="D4" s="84">
        <f>COUNTIFS((Kõik!C8:C244),"=C",(Kõik!F8:F244),"keemiatööstuskäitised - ammoniaak")</f>
        <v>0</v>
      </c>
      <c r="E4" s="85">
        <f t="shared" si="0"/>
        <v>2</v>
      </c>
    </row>
    <row r="5" spans="1:5" x14ac:dyDescent="0.25">
      <c r="A5" s="83" t="s">
        <v>969</v>
      </c>
      <c r="B5" s="75">
        <f>COUNTIFS((Kõik!C8:C244),"=A",(Kõik!F8:F244),"keemiatööstuskäitised - tööstusgaasid")</f>
        <v>0</v>
      </c>
      <c r="C5" s="72">
        <f>COUNTIFS((Kõik!C8:C244),"=B",(Kõik!F8:F244),"keemiatööstuskäitised - tööstusgaasid")</f>
        <v>1</v>
      </c>
      <c r="D5" s="84">
        <f>COUNTIFS((Kõik!C8:C244),"=C",(Kõik!F8:F244),"keemiatööstuskäitised - tööstusgaasid")</f>
        <v>3</v>
      </c>
      <c r="E5" s="85">
        <f t="shared" si="0"/>
        <v>4</v>
      </c>
    </row>
    <row r="6" spans="1:5" x14ac:dyDescent="0.25">
      <c r="A6" s="83" t="s">
        <v>959</v>
      </c>
      <c r="B6" s="75">
        <f>COUNTIFS((Kõik!C8:C244),"=A",(Kõik!F8:F244),"kütuste ladustamine (sh kütmine, jaemüük jne)")</f>
        <v>13</v>
      </c>
      <c r="C6" s="72">
        <f>COUNTIFS((Kõik!C8:C244),"=B",(Kõik!F8:F244),"kütuste ladustamine (sh kütmine, jaemüük jne)")</f>
        <v>9</v>
      </c>
      <c r="D6" s="84">
        <f>COUNTIFS((Kõik!C8:C244),"=C",(Kõik!F8:F244),"kütuste ladustamine (sh kütmine, jaemüük jne)")</f>
        <v>56</v>
      </c>
      <c r="E6" s="85">
        <f t="shared" si="0"/>
        <v>78</v>
      </c>
    </row>
    <row r="7" spans="1:5" x14ac:dyDescent="0.25">
      <c r="A7" s="83" t="s">
        <v>975</v>
      </c>
      <c r="B7" s="75">
        <f>COUNTIFS((Kõik!C8:C244),"=A",(Kõik!F8:F244),"ladustamine ja turustamine hulgi- ja jaemüügi puhul (v.a. vedelgaas)")</f>
        <v>3</v>
      </c>
      <c r="C7" s="72">
        <f>COUNTIFS((Kõik!C8:C244),"=B",(Kõik!F8:F244),"ladustamine ja turustamine hulgi- ja jaemüügi puhul (v.a. vedelgaas)")</f>
        <v>1</v>
      </c>
      <c r="D7" s="84">
        <f>COUNTIFS((Kõik!C8:C244),"=C",(Kõik!F8:F244),"ladustamine ja turustamine hulgi- ja jaemüügi puhul (v.a. vedelgaas)")</f>
        <v>8</v>
      </c>
      <c r="E7" s="85">
        <f t="shared" si="0"/>
        <v>12</v>
      </c>
    </row>
    <row r="8" spans="1:5" x14ac:dyDescent="0.25">
      <c r="A8" s="83" t="s">
        <v>966</v>
      </c>
      <c r="B8" s="75">
        <f>COUNTIFS((Kõik!C8:C244),"=A",(Kõik!F8:F244),"lõhkeaine tootmine, hävitamine ja ladustamine")</f>
        <v>2</v>
      </c>
      <c r="C8" s="72">
        <f>COUNTIFS((Kõik!C8:C244),"=B",(Kõik!F8:F244),"lõhkeaine tootmine, hävitamine ja ladustamine")</f>
        <v>0</v>
      </c>
      <c r="D8" s="84">
        <f>COUNTIFS((Kõik!C8:C244),"=C",(Kõik!F8:F244),"lõhkeaine tootmine, hävitamine ja ladustamine")</f>
        <v>1</v>
      </c>
      <c r="E8" s="85">
        <f t="shared" si="0"/>
        <v>3</v>
      </c>
    </row>
    <row r="9" spans="1:5" x14ac:dyDescent="0.25">
      <c r="A9" s="83" t="s">
        <v>965</v>
      </c>
      <c r="B9" s="75">
        <f>COUNTIFS((Kõik!C8:C244),"=A",(Kõik!F8:F244),"metallide töötlemine elektrolüütiliste või keemiliste protsesside abil")</f>
        <v>0</v>
      </c>
      <c r="C9" s="72">
        <f>COUNTIFS((Kõik!C8:C244),"=B",(Kõik!F8:F244),"metallide töötlemine elektrolüütiliste või keemiliste protsesside abil")</f>
        <v>1</v>
      </c>
      <c r="D9" s="84">
        <f>COUNTIFS((Kõik!C8:C244),"=C",(Kõik!F8:F244),"metallide töötlemine elektrolüütiliste või keemiliste protsesside abil")</f>
        <v>4</v>
      </c>
      <c r="E9" s="85">
        <f t="shared" si="0"/>
        <v>5</v>
      </c>
    </row>
    <row r="10" spans="1:5" x14ac:dyDescent="0.25">
      <c r="A10" s="83" t="s">
        <v>974</v>
      </c>
      <c r="B10" s="75">
        <f>COUNTIFS((Kõik!C8:C244),"=A",(Kõik!F8:F244),"naftakeemiatööstus/naftatöötlemistehased")</f>
        <v>1</v>
      </c>
      <c r="C10" s="72">
        <f>COUNTIFS((Kõik!C8:C244),"=B",(Kõik!F8:F244),"naftakeemiatööstus/naftatöötlemistehased")</f>
        <v>1</v>
      </c>
      <c r="D10" s="84">
        <f>COUNTIFS((Kõik!C8:C244),"=C",(Kõik!F8:F244),"naftakeemiatööstus/naftatöötlemistehased")</f>
        <v>0</v>
      </c>
      <c r="E10" s="85">
        <f t="shared" si="0"/>
        <v>2</v>
      </c>
    </row>
    <row r="11" spans="1:5" x14ac:dyDescent="0.25">
      <c r="A11" s="83" t="s">
        <v>964</v>
      </c>
      <c r="B11" s="75">
        <f>COUNTIFS((Kõik!C8:C244),"=A",(Kõik!F8:F244),"paberimassi ja paberi tootmine")</f>
        <v>1</v>
      </c>
      <c r="C11" s="72">
        <f>COUNTIFS((Kõik!C8:C244),"=B",(Kõik!F8:F244),"paberimassi ja paberi tootmine")</f>
        <v>0</v>
      </c>
      <c r="D11" s="84">
        <f>COUNTIFS((Kõik!C8:C244),"=C",(Kõik!F8:F244),"paberimassi ja paberi tootmine")</f>
        <v>1</v>
      </c>
      <c r="E11" s="85">
        <f t="shared" si="0"/>
        <v>2</v>
      </c>
    </row>
    <row r="12" spans="1:5" x14ac:dyDescent="0.25">
      <c r="A12" s="83" t="s">
        <v>964</v>
      </c>
      <c r="B12" s="75">
        <f>COUNTIFS((Kõik!C8:C244),"=A",(Kõik!F8:F244),"paberimassi ja paberi tootmine")</f>
        <v>1</v>
      </c>
      <c r="C12" s="72">
        <f>COUNTIFS((Kõik!C8:C244),"=B",(Kõik!F8:F244),"paberimassi ja paberi tootmine")</f>
        <v>0</v>
      </c>
      <c r="D12" s="84">
        <f>COUNTIFS((Kõik!C8:C244),"=C",(Kõik!F8:F244),"paberimassi ja paberi tootmine")</f>
        <v>1</v>
      </c>
      <c r="E12" s="85">
        <f t="shared" si="0"/>
        <v>2</v>
      </c>
    </row>
    <row r="13" spans="1:5" x14ac:dyDescent="0.25">
      <c r="A13" s="83" t="s">
        <v>960</v>
      </c>
      <c r="B13" s="75">
        <f>COUNTIFS((Kõik!C8:C244),"=A",(Kõik!F8:F244),"pürotehnika toodete tootmine ja ladustamine")</f>
        <v>0</v>
      </c>
      <c r="C13" s="72">
        <f>COUNTIFS((Kõik!C8:C244),"=B",(Kõik!F8:F244),"pürotehnika toodete tootmine ja ladustamine")</f>
        <v>4</v>
      </c>
      <c r="D13" s="84">
        <f>COUNTIFS((Kõik!C8:C244),"=C",(Kõik!F8:F244),"pürotehnika toodete tootmine ja ladustamine")</f>
        <v>5</v>
      </c>
      <c r="E13" s="85">
        <f t="shared" si="0"/>
        <v>9</v>
      </c>
    </row>
    <row r="14" spans="1:5" x14ac:dyDescent="0.25">
      <c r="A14" s="83" t="s">
        <v>973</v>
      </c>
      <c r="B14" s="75">
        <f>COUNTIFS((Kõik!C8:C244),"=A",(Kõik!F8:F244),"toiduainete ja jookide tootmine")</f>
        <v>0</v>
      </c>
      <c r="C14" s="72">
        <f>COUNTIFS((Kõik!C8:C244),"=B",(Kõik!F8:F244),"toiduainete ja jookide tootmine")</f>
        <v>0</v>
      </c>
      <c r="D14" s="84">
        <f>COUNTIFS((Kõik!C8:C244),"=C",(Kõik!F8:F244),"toiduainete ja jookide tootmine")</f>
        <v>28</v>
      </c>
      <c r="E14" s="85">
        <f t="shared" si="0"/>
        <v>28</v>
      </c>
    </row>
    <row r="15" spans="1:5" x14ac:dyDescent="0.25">
      <c r="A15" s="83" t="s">
        <v>967</v>
      </c>
      <c r="B15" s="75">
        <f>COUNTIFS((Kõik!C8:C244),"=A",(Kõik!F8:F244),"vedelgaasi ladustamine")</f>
        <v>2</v>
      </c>
      <c r="C15" s="72">
        <f>COUNTIFS((Kõik!C8:C244),"=B",(Kõik!F8:F244),"vedelgaasi ladustamine")</f>
        <v>1</v>
      </c>
      <c r="D15" s="84">
        <f>COUNTIFS((Kõik!C8:C244),"=C",(Kõik!F8:F244),"vedelgaasi ladustamine")</f>
        <v>52</v>
      </c>
      <c r="E15" s="85">
        <f t="shared" si="0"/>
        <v>55</v>
      </c>
    </row>
    <row r="16" spans="1:5" x14ac:dyDescent="0.25">
      <c r="A16" s="83" t="s">
        <v>968</v>
      </c>
      <c r="B16" s="75">
        <f>COUNTIFS((Kõik!C8:C244),"=A",(Kõik!F8:F244),"vesi ja reovesi (kogumine, varustamine ja töötlemine")</f>
        <v>0</v>
      </c>
      <c r="C16" s="72">
        <f>COUNTIFS((Kõik!C8:C244),"=B",(Kõik!F8:F244),"vesi ja reovesi (kogumine, varustamine ja töötlemine")</f>
        <v>1</v>
      </c>
      <c r="D16" s="84">
        <f>COUNTIFS((Kõik!C8:C244),"=C",(Kõik!F8:F244),"vesi ja reovesi (kogumine, varustamine ja töötlemine")</f>
        <v>4</v>
      </c>
      <c r="E16" s="85">
        <f t="shared" si="0"/>
        <v>5</v>
      </c>
    </row>
    <row r="17" spans="1:5" x14ac:dyDescent="0.25">
      <c r="A17" s="83" t="s">
        <v>972</v>
      </c>
      <c r="B17" s="75">
        <f>COUNTIFS((Kõik!C8:C244),"=A",(Kõik!F8:F244),"väetiste tootmine ja ladustamine")</f>
        <v>3</v>
      </c>
      <c r="C17" s="72">
        <f>COUNTIFS((Kõik!C8:C244),"=B",(Kõik!F8:F244),"väetiste tootmine ja ladustamine")</f>
        <v>5</v>
      </c>
      <c r="D17" s="84">
        <f>COUNTIFS((Kõik!C8:C244),"=C",(Kõik!F8:F244),"väetiste tootmine ja ladustamine")</f>
        <v>1</v>
      </c>
      <c r="E17" s="85">
        <f t="shared" si="0"/>
        <v>9</v>
      </c>
    </row>
    <row r="18" spans="1:5" ht="15.75" thickBot="1" x14ac:dyDescent="0.3">
      <c r="A18" s="83" t="s">
        <v>963</v>
      </c>
      <c r="B18" s="75">
        <f>COUNTIFS((Kõik!C8:C244),"=A",(Kõik!F8:F244),"üldine kemikaalide tootmine (eespool nimetamata)")</f>
        <v>4</v>
      </c>
      <c r="C18" s="72">
        <f>COUNTIFS((Kõik!C8:C244),"=B",(Kõik!F8:F244),"üldine kemikaalide tootmine (eespool nimetamata)")</f>
        <v>3</v>
      </c>
      <c r="D18" s="84">
        <f>COUNTIFS((Kõik!C8:C244),"=C",(Kõik!F8:F244),"üldine kemikaalide tootmine (eespool nimetamata)")</f>
        <v>4</v>
      </c>
      <c r="E18" s="85">
        <f t="shared" si="0"/>
        <v>11</v>
      </c>
    </row>
    <row r="19" spans="1:5" ht="15.75" thickBot="1" x14ac:dyDescent="0.3">
      <c r="A19" s="73" t="s">
        <v>399</v>
      </c>
      <c r="B19" s="66">
        <f>SUM(B2:B18)</f>
        <v>33</v>
      </c>
      <c r="C19" s="67">
        <f>SUM(C2:C18)</f>
        <v>30</v>
      </c>
      <c r="D19" s="68">
        <f>SUM(D2:D18)</f>
        <v>171</v>
      </c>
      <c r="E19" s="62">
        <f t="shared" si="0"/>
        <v>234</v>
      </c>
    </row>
  </sheetData>
  <sheetProtection algorithmName="SHA-512" hashValue="5NFhfuzawohlh2GChoeHwBPkd7fS1XkBSHe1B6+ADVLM5UldXCr6lCGo5DI+VcqYsOpTcP56bwFAZztNthG9jA==" saltValue="2GHCA5MEy+joiRr9s6CYLQ==" spinCount="100000" sheet="1" objects="1" scenarios="1" selectLockedCells="1" selectUnlockedCells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E7"/>
  <sheetViews>
    <sheetView workbookViewId="0">
      <selection activeCell="R16" sqref="R16"/>
    </sheetView>
  </sheetViews>
  <sheetFormatPr defaultRowHeight="15" x14ac:dyDescent="0.25"/>
  <cols>
    <col min="1" max="1" width="14.42578125" bestFit="1" customWidth="1"/>
    <col min="2" max="3" width="3" bestFit="1" customWidth="1"/>
    <col min="4" max="4" width="4" bestFit="1" customWidth="1"/>
    <col min="5" max="5" width="7.28515625" bestFit="1" customWidth="1"/>
  </cols>
  <sheetData>
    <row r="1" spans="1:5" ht="15.75" thickBot="1" x14ac:dyDescent="0.3">
      <c r="A1" s="59"/>
      <c r="B1" s="58" t="s">
        <v>114</v>
      </c>
      <c r="C1" s="51" t="s">
        <v>112</v>
      </c>
      <c r="D1" s="52" t="s">
        <v>113</v>
      </c>
      <c r="E1" s="61" t="s">
        <v>399</v>
      </c>
    </row>
    <row r="2" spans="1:5" x14ac:dyDescent="0.25">
      <c r="A2" s="46" t="s">
        <v>988</v>
      </c>
      <c r="B2" s="47">
        <f>COUNTIFS((Kõik!C8:C244),"=A",(Kõik!X8:X244),"=LMS")</f>
        <v>2</v>
      </c>
      <c r="C2" s="48">
        <f>COUNTIFS((Kõik!C8:C244),"=B",(Kõik!X8:X244),"=LMS")</f>
        <v>5</v>
      </c>
      <c r="D2" s="49">
        <f>COUNTIFS((Kõik!C8:C244),"=C",(Kõik!X8:X244),"=LMS")</f>
        <v>6</v>
      </c>
      <c r="E2" s="50">
        <f>SUM(B2:D2)</f>
        <v>13</v>
      </c>
    </row>
    <row r="3" spans="1:5" x14ac:dyDescent="0.25">
      <c r="A3" s="42" t="s">
        <v>987</v>
      </c>
      <c r="B3" s="44">
        <f>COUNTIFS((Kõik!C8:C244),"=A",(Kõik!X8:X244),"=THS")</f>
        <v>10</v>
      </c>
      <c r="C3" s="41">
        <f>COUNTIFS((Kõik!C8:C244),"=B",(Kõik!X8:X244),"=THS")</f>
        <v>9</v>
      </c>
      <c r="D3" s="45">
        <f>COUNTIFS((Kõik!C8:C244),"=C",(Kõik!X8:X244),"=THS")</f>
        <v>15</v>
      </c>
      <c r="E3" s="43">
        <f t="shared" ref="E3:E7" si="0">SUM(B3:D3)</f>
        <v>34</v>
      </c>
    </row>
    <row r="4" spans="1:5" x14ac:dyDescent="0.25">
      <c r="A4" s="42" t="s">
        <v>989</v>
      </c>
      <c r="B4" s="44">
        <f>COUNTIFS((Kõik!C8:C244),"=A",(Kõik!X8:X244),"=KemS")</f>
        <v>19</v>
      </c>
      <c r="C4" s="41">
        <f>COUNTIFS((Kõik!C8:C244),"=B",(Kõik!X8:X244),"=KemS")</f>
        <v>18</v>
      </c>
      <c r="D4" s="45">
        <f>COUNTIFS((Kõik!C8:C244),"=C",(Kõik!X8:X244),"=KemS")</f>
        <v>134</v>
      </c>
      <c r="E4" s="43">
        <f t="shared" si="0"/>
        <v>171</v>
      </c>
    </row>
    <row r="5" spans="1:5" x14ac:dyDescent="0.25">
      <c r="A5" s="42" t="s">
        <v>991</v>
      </c>
      <c r="B5" s="44">
        <f>COUNTIFS((Kõik!C8:C244),"=A",(Kõik!X8:X244),"=Taotlus")</f>
        <v>0</v>
      </c>
      <c r="C5" s="41">
        <f>COUNTIFS((Kõik!C8:C244),"=B",(Kõik!X8:X244),"=Taotlus")</f>
        <v>1</v>
      </c>
      <c r="D5" s="45">
        <f>COUNTIFS((Kõik!C8:C244),"=C",(Kõik!X8:X244),"=Taotlus")</f>
        <v>14</v>
      </c>
      <c r="E5" s="43">
        <f t="shared" si="0"/>
        <v>15</v>
      </c>
    </row>
    <row r="6" spans="1:5" ht="15.75" thickBot="1" x14ac:dyDescent="0.3">
      <c r="A6" s="42" t="s">
        <v>990</v>
      </c>
      <c r="B6" s="44">
        <f>COUNTIFS((Kõik!C8:C244),"=A",(Kõik!X8:X244),"=Puudub")</f>
        <v>1</v>
      </c>
      <c r="C6" s="41">
        <f>COUNTIFS((Kõik!C8:C244),"=B",(Kõik!X8:X244),"=Puudub")</f>
        <v>0</v>
      </c>
      <c r="D6" s="45">
        <f>COUNTIFS((Kõik!C8:C244),"=C",(Kõik!X8:X244),"=Puudub")</f>
        <v>2</v>
      </c>
      <c r="E6" s="43">
        <f t="shared" si="0"/>
        <v>3</v>
      </c>
    </row>
    <row r="7" spans="1:5" ht="15.75" thickBot="1" x14ac:dyDescent="0.3">
      <c r="A7" s="60" t="s">
        <v>399</v>
      </c>
      <c r="B7" s="58">
        <f>SUM(B2:B6)</f>
        <v>32</v>
      </c>
      <c r="C7" s="51">
        <f>SUM(C2:C6)</f>
        <v>33</v>
      </c>
      <c r="D7" s="52">
        <f>SUM(D2:D6)</f>
        <v>171</v>
      </c>
      <c r="E7" s="61">
        <f t="shared" si="0"/>
        <v>236</v>
      </c>
    </row>
  </sheetData>
  <sheetProtection algorithmName="SHA-512" hashValue="io7aw52IQCfiM9b+W9SVLyTiAAmgV+6Z33e+7DAMXpSi179dsQ0MP4DtWMsr84iID8kfanvF66lJ5WMhBaqDtQ==" saltValue="UTO24gI+hg0vBmyWoE53pA==" spinCount="100000" sheet="1" objects="1" scenarios="1" selectLockedCells="1" selectUnlockedCells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5"/>
  <sheetViews>
    <sheetView zoomScaleNormal="100" workbookViewId="0">
      <selection activeCell="G25" sqref="G25"/>
    </sheetView>
  </sheetViews>
  <sheetFormatPr defaultRowHeight="15" x14ac:dyDescent="0.25"/>
  <cols>
    <col min="1" max="1" width="10.5703125" bestFit="1" customWidth="1"/>
    <col min="2" max="2" width="11.140625" bestFit="1" customWidth="1"/>
  </cols>
  <sheetData>
    <row r="1" spans="1:4" x14ac:dyDescent="0.25">
      <c r="A1" s="155" t="s">
        <v>979</v>
      </c>
      <c r="B1" s="155" t="s">
        <v>980</v>
      </c>
      <c r="C1" s="155" t="s">
        <v>976</v>
      </c>
      <c r="D1" s="155" t="s">
        <v>978</v>
      </c>
    </row>
    <row r="2" spans="1:4" x14ac:dyDescent="0.25">
      <c r="A2" s="155" t="s">
        <v>114</v>
      </c>
      <c r="B2" s="105">
        <f>D2-C2</f>
        <v>27</v>
      </c>
      <c r="C2" s="105">
        <f>COUNTIFS((Kõik!C8:C244),"=A",(Kõik!D8:D244),"=x")</f>
        <v>5</v>
      </c>
      <c r="D2" s="155">
        <f>COUNTIFS((Kõik!C8:C244),"=A")</f>
        <v>32</v>
      </c>
    </row>
    <row r="3" spans="1:4" x14ac:dyDescent="0.25">
      <c r="A3" s="155" t="s">
        <v>112</v>
      </c>
      <c r="B3" s="105">
        <f t="shared" ref="B3:B4" si="0">D3-C3</f>
        <v>30</v>
      </c>
      <c r="C3" s="105">
        <f>COUNTIFS((Kõik!C8:C244),"=B",(Kõik!D8:D244),"=x")</f>
        <v>3</v>
      </c>
      <c r="D3" s="155">
        <f>COUNTIFS((Kõik!C8:C244),"=B")</f>
        <v>33</v>
      </c>
    </row>
    <row r="4" spans="1:4" x14ac:dyDescent="0.25">
      <c r="A4" s="155" t="s">
        <v>113</v>
      </c>
      <c r="B4" s="105">
        <f t="shared" si="0"/>
        <v>161</v>
      </c>
      <c r="C4" s="105">
        <f>COUNTIFS((Kõik!C8:C244),"=C",(Kõik!D8:D244),"=x")</f>
        <v>10</v>
      </c>
      <c r="D4" s="155">
        <f>COUNTIFS((Kõik!C8:C244),"=C")</f>
        <v>171</v>
      </c>
    </row>
    <row r="5" spans="1:4" x14ac:dyDescent="0.25">
      <c r="A5" s="155" t="s">
        <v>978</v>
      </c>
      <c r="B5" s="155">
        <f>SUM(B2:B4)</f>
        <v>218</v>
      </c>
      <c r="C5" s="155">
        <f t="shared" ref="C5:D5" si="1">SUM(C2:C4)</f>
        <v>18</v>
      </c>
      <c r="D5" s="155">
        <f t="shared" si="1"/>
        <v>236</v>
      </c>
    </row>
  </sheetData>
  <sheetProtection algorithmName="SHA-512" hashValue="c5mKQF76f8duyZLkQNXXumv7ukbl2uY+FB9N77TYNQnrOFzHP4AUC+v2FSYFgkn9fRvlMwg78wI3q4CJ/hG3kQ==" saltValue="GezL4d3xVh5JpasQwHG4cQ==" spinCount="100000" sheet="1" objects="1" scenarios="1"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R31"/>
  <sheetViews>
    <sheetView workbookViewId="0">
      <selection activeCell="S20" sqref="S20"/>
    </sheetView>
  </sheetViews>
  <sheetFormatPr defaultRowHeight="15" x14ac:dyDescent="0.25"/>
  <cols>
    <col min="1" max="1" width="19.85546875" bestFit="1" customWidth="1"/>
    <col min="2" max="16" width="6.7109375" customWidth="1"/>
    <col min="17" max="17" width="7.28515625" customWidth="1"/>
  </cols>
  <sheetData>
    <row r="1" spans="1:18" ht="15.75" thickBot="1" x14ac:dyDescent="0.3">
      <c r="A1" s="74"/>
      <c r="B1" s="66" t="s">
        <v>404</v>
      </c>
      <c r="C1" s="67" t="s">
        <v>405</v>
      </c>
      <c r="D1" s="67" t="s">
        <v>406</v>
      </c>
      <c r="E1" s="67" t="s">
        <v>407</v>
      </c>
      <c r="F1" s="67" t="s">
        <v>408</v>
      </c>
      <c r="G1" s="67" t="s">
        <v>409</v>
      </c>
      <c r="H1" s="67" t="s">
        <v>410</v>
      </c>
      <c r="I1" s="67" t="s">
        <v>411</v>
      </c>
      <c r="J1" s="67" t="s">
        <v>412</v>
      </c>
      <c r="K1" s="67" t="s">
        <v>413</v>
      </c>
      <c r="L1" s="67" t="s">
        <v>414</v>
      </c>
      <c r="M1" s="67" t="s">
        <v>415</v>
      </c>
      <c r="N1" s="67" t="s">
        <v>416</v>
      </c>
      <c r="O1" s="67" t="s">
        <v>417</v>
      </c>
      <c r="P1" s="68" t="s">
        <v>418</v>
      </c>
      <c r="Q1" s="62" t="s">
        <v>399</v>
      </c>
    </row>
    <row r="2" spans="1:18" x14ac:dyDescent="0.25">
      <c r="A2" s="69" t="s">
        <v>400</v>
      </c>
      <c r="B2" s="75">
        <f>COUNTIFS((Kõik!G8:G244),"=Harjumaa",(Kõik!E8:E244),"=Alkohol")</f>
        <v>1</v>
      </c>
      <c r="C2" s="76">
        <f>COUNTIFS((Kõik!G8:G244),"=Hiiumaa",(Kõik!E8:E244),"=Alkohol")</f>
        <v>0</v>
      </c>
      <c r="D2" s="76">
        <f>COUNTIFS((Kõik!G8:G244),"=Ida-Virumaa",(Kõik!E8:E244),"=Alkohol")</f>
        <v>0</v>
      </c>
      <c r="E2" s="76">
        <f>COUNTIFS((Kõik!G8:G244),"=Jõgevamaa",(Kõik!E8:E244),"=Alkohol")</f>
        <v>0</v>
      </c>
      <c r="F2" s="76">
        <f>COUNTIFS((Kõik!G8:G244),"=Järvamaa",(Kõik!E8:E244),"=Alkohol")</f>
        <v>0</v>
      </c>
      <c r="G2" s="76">
        <f>COUNTIFS((Kõik!G8:G244),"=Läänemaa",(Kõik!E8:E244),"=Alkohol")</f>
        <v>0</v>
      </c>
      <c r="H2" s="76">
        <f>COUNTIFS((Kõik!G8:G244),"=Lääne-Virumaa",(Kõik!E8:E244),"=Alkohol")</f>
        <v>1</v>
      </c>
      <c r="I2" s="76">
        <f>COUNTIFS((Kõik!G8:G244),"=Põlvamaa",(Kõik!E8:E244),"=Alkohol")</f>
        <v>0</v>
      </c>
      <c r="J2" s="76">
        <f>COUNTIFS((Kõik!G8:G244),"=Pärnumaa",(Kõik!E8:E244),"=Alkohol")</f>
        <v>0</v>
      </c>
      <c r="K2" s="76">
        <f>COUNTIFS((Kõik!G8:G244),"=Raplamaa",(Kõik!E8:E244),"=Alkohol")</f>
        <v>0</v>
      </c>
      <c r="L2" s="76">
        <f>COUNTIFS((Kõik!G8:G244),"=Saaremaa",(Kõik!E8:E244),"=Alkohol")</f>
        <v>0</v>
      </c>
      <c r="M2" s="76">
        <f>COUNTIFS((Kõik!G8:G244),"=Tartumaa",(Kõik!E8:E244),"=Alkohol")</f>
        <v>1</v>
      </c>
      <c r="N2" s="76">
        <f>COUNTIFS((Kõik!G8:G244),"=Valgamaa",(Kõik!E8:E244),"=Alkohol")</f>
        <v>0</v>
      </c>
      <c r="O2" s="76">
        <f>COUNTIFS((Kõik!G8:G244),"=Viljandimaa",(Kõik!E8:E244),"=Alkohol")</f>
        <v>0</v>
      </c>
      <c r="P2" s="76">
        <f>COUNTIFS((Kõik!G8:G244),"=Võrumaa",(Kõik!E8:E244),"=Alkohol")</f>
        <v>0</v>
      </c>
      <c r="Q2" s="63">
        <f>SUM(B2:P2)</f>
        <v>3</v>
      </c>
    </row>
    <row r="3" spans="1:18" x14ac:dyDescent="0.25">
      <c r="A3" s="70" t="s">
        <v>402</v>
      </c>
      <c r="B3" s="77">
        <f>COUNTIFS((Kõik!G8:G244),"=Harjumaa",(Kõik!E8:E244),"=Ammoniaak")</f>
        <v>0</v>
      </c>
      <c r="C3" s="72">
        <f>COUNTIFS((Kõik!G8:G244),"=Hiiumaa",(Kõik!E8:E244),"=Ammoniaak")</f>
        <v>0</v>
      </c>
      <c r="D3" s="72">
        <f>COUNTIFS((Kõik!G8:G244),"=Ida-Virumaa",(Kõik!E8:E244),"=Ammoniaak")</f>
        <v>1</v>
      </c>
      <c r="E3" s="72">
        <f>COUNTIFS((Kõik!G8:G244),"=Jõgevamaa",(Kõik!E8:E244),"=Ammoniaak")</f>
        <v>0</v>
      </c>
      <c r="F3" s="72">
        <f>COUNTIFS((Kõik!G8:G244),"=Järvamaa",(Kõik!E8:E244),"=Ammoniaak")</f>
        <v>0</v>
      </c>
      <c r="G3" s="72">
        <f>COUNTIFS((Kõik!G8:G244),"=Läänemaa",(Kõik!E8:E244),"=Ammoniaak")</f>
        <v>0</v>
      </c>
      <c r="H3" s="72">
        <f>COUNTIFS((Kõik!G8:G244),"=Lääne-Virumaa",(Kõik!E8:E244),"=Ammoniaak")</f>
        <v>0</v>
      </c>
      <c r="I3" s="72">
        <f>COUNTIFS((Kõik!G8:G244),"=Põlvamaa",(Kõik!E8:E244),"=Ammoniaak")</f>
        <v>0</v>
      </c>
      <c r="J3" s="72">
        <f>COUNTIFS((Kõik!G8:G244),"=Pärnumaa",(Kõik!E8:E244),"=Ammoniaak")</f>
        <v>0</v>
      </c>
      <c r="K3" s="72">
        <f>COUNTIFS((Kõik!G8:G244),"=Raplamaa",(Kõik!E8:E244),"=Ammoniaak")</f>
        <v>0</v>
      </c>
      <c r="L3" s="72">
        <f>COUNTIFS((Kõik!G8:G244),"=Saaremaa",(Kõik!E8:E244),"=Ammoniaak")</f>
        <v>0</v>
      </c>
      <c r="M3" s="72">
        <f>COUNTIFS((Kõik!G8:G244),"=Tartumaa",(Kõik!E8:E244),"=Ammoniaak")</f>
        <v>0</v>
      </c>
      <c r="N3" s="72">
        <f>COUNTIFS((Kõik!G8:G244),"=Valgamaa",(Kõik!E8:E244),"=Ammoniaak")</f>
        <v>0</v>
      </c>
      <c r="O3" s="72">
        <f>COUNTIFS((Kõik!G8:G244),"=Viljandimaa",(Kõik!E8:E244),"=Ammoniaak")</f>
        <v>0</v>
      </c>
      <c r="P3" s="72">
        <f>COUNTIFS((Kõik!G8:G244),"=Võrumaa",(Kõik!E8:E244),"=Ammoniaak")</f>
        <v>0</v>
      </c>
      <c r="Q3" s="64">
        <f t="shared" ref="Q3:Q31" si="0">SUM(B3:P3)</f>
        <v>1</v>
      </c>
    </row>
    <row r="4" spans="1:18" x14ac:dyDescent="0.25">
      <c r="A4" s="70" t="s">
        <v>277</v>
      </c>
      <c r="B4" s="77">
        <f>COUNTIFS((Kõik!G8:G244),"=Harjumaa",(Kõik!E8:E244),"=Autokeemia")</f>
        <v>1</v>
      </c>
      <c r="C4" s="72">
        <f>COUNTIFS((Kõik!G8:G244),"=Hiiumaa",(Kõik!E8:E244),"=Autokeemia")</f>
        <v>0</v>
      </c>
      <c r="D4" s="72">
        <f>COUNTIFS((Kõik!G8:G244),"=Ida-Virumaa",(Kõik!E8:E244),"=Autokeemia")</f>
        <v>0</v>
      </c>
      <c r="E4" s="72">
        <f>COUNTIFS((Kõik!G8:G244),"=Jõgevamaa",(Kõik!E8:E244),"=Autokeemia")</f>
        <v>0</v>
      </c>
      <c r="F4" s="72">
        <f>COUNTIFS((Kõik!G8:G244),"=Järvamaa",(Kõik!E8:E244),"=Autokeemia")</f>
        <v>0</v>
      </c>
      <c r="G4" s="72">
        <f>COUNTIFS((Kõik!G8:G244),"=Läänemaa",(Kõik!E8:E244),"=Autokeemia")</f>
        <v>0</v>
      </c>
      <c r="H4" s="72">
        <f>COUNTIFS((Kõik!G8:G244),"=Lääne-Virumaa",(Kõik!E8:E244),"=Autokeemia")</f>
        <v>0</v>
      </c>
      <c r="I4" s="72">
        <f>COUNTIFS((Kõik!G8:G244),"=Põlvamaa",(Kõik!E8:E244),"=Autokeemia")</f>
        <v>0</v>
      </c>
      <c r="J4" s="72">
        <f>COUNTIFS((Kõik!G8:G244),"=Pärnumaa",(Kõik!E8:E244),"=Autokeemia")</f>
        <v>0</v>
      </c>
      <c r="K4" s="72">
        <f>COUNTIFS((Kõik!G8:G244),"=Raplamaa",(Kõik!E8:E244),"=Autokeemia")</f>
        <v>0</v>
      </c>
      <c r="L4" s="72">
        <f>COUNTIFS((Kõik!G8:G244),"=Saaremaa",(Kõik!E8:E244),"=Autokeemia")</f>
        <v>0</v>
      </c>
      <c r="M4" s="72">
        <f>COUNTIFS((Kõik!G8:G244),"=Tartumaa",(Kõik!E8:E244),"=Autokeemia")</f>
        <v>2</v>
      </c>
      <c r="N4" s="72">
        <f>COUNTIFS((Kõik!G8:G244),"=Valgamaa",(Kõik!E8:E244),"=Autokeemia")</f>
        <v>0</v>
      </c>
      <c r="O4" s="72">
        <f>COUNTIFS((Kõik!G8:G244),"=Viljandimaa",(Kõik!E8:E244),"=Autokeemia")</f>
        <v>0</v>
      </c>
      <c r="P4" s="72">
        <f>COUNTIFS((Kõik!G8:G244),"=Võrumaa",(Kõik!E8:E244),"=Autokeemia")</f>
        <v>0</v>
      </c>
      <c r="Q4" s="64">
        <f t="shared" si="0"/>
        <v>3</v>
      </c>
    </row>
    <row r="5" spans="1:18" x14ac:dyDescent="0.25">
      <c r="A5" s="70" t="s">
        <v>255</v>
      </c>
      <c r="B5" s="77">
        <f>COUNTIFS((Kõik!G8:G244),"=Harjumaa",(Kõik!E8:E244),"=Bensoehape")</f>
        <v>0</v>
      </c>
      <c r="C5" s="72">
        <f>COUNTIFS((Kõik!G8:G244),"=Hiiumaa",(Kõik!E8:E244),"=Bensoehape")</f>
        <v>0</v>
      </c>
      <c r="D5" s="72">
        <f>COUNTIFS((Kõik!G8:G244),"=Ida-Virumaa",(Kõik!E8:E244),"=Bensoehape")</f>
        <v>1</v>
      </c>
      <c r="E5" s="72">
        <f>COUNTIFS((Kõik!G8:G244),"=Jõgevamaa",(Kõik!E8:E244),"=Bensoehape")</f>
        <v>0</v>
      </c>
      <c r="F5" s="72">
        <f>COUNTIFS((Kõik!G8:G244),"=Järvamaa",(Kõik!E8:E244),"=Bensoehape")</f>
        <v>0</v>
      </c>
      <c r="G5" s="72">
        <f>COUNTIFS((Kõik!G8:G244),"=Läänemaa",(Kõik!E8:E244),"=Bensoehape")</f>
        <v>0</v>
      </c>
      <c r="H5" s="72">
        <f>COUNTIFS((Kõik!G8:G244),"=Lääne-Virumaa",(Kõik!E8:E244),"=Bensoehape")</f>
        <v>0</v>
      </c>
      <c r="I5" s="72">
        <f>COUNTIFS((Kõik!G8:G244),"=Põlvamaa",(Kõik!E8:E244),"=Bensoehape")</f>
        <v>0</v>
      </c>
      <c r="J5" s="72">
        <f>COUNTIFS((Kõik!G8:G244),"=Pärnumaa",(Kõik!E8:E244),"=Bensoehape")</f>
        <v>0</v>
      </c>
      <c r="K5" s="72">
        <f>COUNTIFS((Kõik!G8:G244),"=Raplamaa",(Kõik!E8:E244),"=Bensoehape")</f>
        <v>0</v>
      </c>
      <c r="L5" s="72">
        <f>COUNTIFS((Kõik!G8:G244),"=Saaremaa",(Kõik!E8:E244),"=Bensoehape")</f>
        <v>0</v>
      </c>
      <c r="M5" s="72">
        <f>COUNTIFS((Kõik!G8:G244),"=Tartumaa",(Kõik!E8:E244),"=Bensoehape")</f>
        <v>0</v>
      </c>
      <c r="N5" s="72">
        <f>COUNTIFS((Kõik!G8:G244),"=Valgamaa",(Kõik!E8:E244),"=Bensoehape")</f>
        <v>0</v>
      </c>
      <c r="O5" s="72">
        <f>COUNTIFS((Kõik!G8:G244),"=Viljandimaa",(Kõik!E8:E244),"=Bensoehape")</f>
        <v>0</v>
      </c>
      <c r="P5" s="72">
        <f>COUNTIFS((Kõik!G8:G244),"=Võrumaa",(Kõik!E8:E244),"=Bensoehape")</f>
        <v>0</v>
      </c>
      <c r="Q5" s="64">
        <f t="shared" si="0"/>
        <v>1</v>
      </c>
    </row>
    <row r="6" spans="1:18" x14ac:dyDescent="0.25">
      <c r="A6" s="70" t="s">
        <v>385</v>
      </c>
      <c r="B6" s="77">
        <f>COUNTIFS((Kõik!G8:G244),"=Harjumaa",(Kõik!E8:E244),"=Biokütus")</f>
        <v>0</v>
      </c>
      <c r="C6" s="72">
        <f>COUNTIFS((Kõik!G8:G244),"=Hiiumaa",(Kõik!E8:E244),"=Biokütus")</f>
        <v>0</v>
      </c>
      <c r="D6" s="72">
        <f>COUNTIFS((Kõik!G8:G244),"=Ida-Virumaa",(Kõik!E8:E244),"=Biokütus")</f>
        <v>0</v>
      </c>
      <c r="E6" s="72">
        <f>COUNTIFS((Kõik!G8:G244),"=Jõgevamaa",(Kõik!E8:E244),"=Biokütus")</f>
        <v>0</v>
      </c>
      <c r="F6" s="72">
        <f>COUNTIFS((Kõik!G8:G244),"=Järvamaa",(Kõik!E8:E244),"=Biokütus")</f>
        <v>0</v>
      </c>
      <c r="G6" s="72">
        <f>COUNTIFS((Kõik!G8:G244),"=Läänemaa",(Kõik!E8:E244),"=Biokütus")</f>
        <v>0</v>
      </c>
      <c r="H6" s="72">
        <f>COUNTIFS((Kõik!G8:G244),"=Lääne-Virumaa",(Kõik!E8:E244),"=Biokütus")</f>
        <v>0</v>
      </c>
      <c r="I6" s="72">
        <f>COUNTIFS((Kõik!G8:G244),"=Põlvamaa",(Kõik!E8:E244),"=Biokütus")</f>
        <v>0</v>
      </c>
      <c r="J6" s="72">
        <f>COUNTIFS((Kõik!G8:G244),"=Pärnumaa",(Kõik!E8:E244),"=Biokütus")</f>
        <v>0</v>
      </c>
      <c r="K6" s="72">
        <f>COUNTIFS((Kõik!G8:G244),"=Raplamaa",(Kõik!E8:E244),"=Biokütus")</f>
        <v>0</v>
      </c>
      <c r="L6" s="72">
        <f>COUNTIFS((Kõik!G8:G244),"=Saaremaa",(Kõik!E8:E244),"=Biokütus")</f>
        <v>0</v>
      </c>
      <c r="M6" s="72">
        <f>COUNTIFS((Kõik!G8:G244),"=Tartumaa",(Kõik!E8:E244),"=Biokütus")</f>
        <v>0</v>
      </c>
      <c r="N6" s="72">
        <f>COUNTIFS((Kõik!G8:G244),"=Valgamaa",(Kõik!E8:E244),"=Biokütus")</f>
        <v>0</v>
      </c>
      <c r="O6" s="72">
        <f>COUNTIFS((Kõik!G8:G244),"=Viljandimaa",(Kõik!E8:E244),"=Biokütus")</f>
        <v>0</v>
      </c>
      <c r="P6" s="72">
        <f>COUNTIFS((Kõik!G8:G244),"=Võrumaa",(Kõik!E8:E244),"=Biokütus")</f>
        <v>0</v>
      </c>
      <c r="Q6" s="64">
        <f t="shared" si="0"/>
        <v>0</v>
      </c>
    </row>
    <row r="7" spans="1:18" x14ac:dyDescent="0.25">
      <c r="A7" s="70" t="s">
        <v>538</v>
      </c>
      <c r="B7" s="77">
        <f>COUNTIFS((Kõik!G8:G246),"=Harjumaa",(Kõik!E8:E246),"=Diiselkütus")</f>
        <v>1</v>
      </c>
      <c r="C7" s="72">
        <f>COUNTIFS((Kõik!G8:G246),"=Hiiumaa",(Kõik!E8:E246),"=Diiselkütus")</f>
        <v>0</v>
      </c>
      <c r="D7" s="72">
        <f>COUNTIFS((Kõik!G8:G246),"=Ida-Virumaa",(Kõik!E8:E246),"=Diiselkütus")</f>
        <v>0</v>
      </c>
      <c r="E7" s="72">
        <f>COUNTIFS((Kõik!G8:G246),"=Jõgevamaa",(Kõik!E8:E246),"=Diiselkütus")</f>
        <v>0</v>
      </c>
      <c r="F7" s="72">
        <f>COUNTIFS((Kõik!G8:G246),"=Järvamaa",(Kõik!E8:E246),"=Diiselkütus")</f>
        <v>0</v>
      </c>
      <c r="G7" s="72">
        <f>COUNTIFS((Kõik!G8:G246),"=Läänemaa",(Kõik!E8:E246),"=Diiselkütus")</f>
        <v>0</v>
      </c>
      <c r="H7" s="72">
        <f>COUNTIFS((Kõik!G8:G246),"=Lääne-Virumaa",(Kõik!E8:E246),"=Diiselkütus")</f>
        <v>0</v>
      </c>
      <c r="I7" s="72">
        <f>COUNTIFS((Kõik!G8:G246),"=Põlvamaa",(Kõik!E8:E246),"=Diiselkütus")</f>
        <v>0</v>
      </c>
      <c r="J7" s="72">
        <f>COUNTIFS((Kõik!G8:G246),"=Pärnumaa",(Kõik!E8:E246),"=Diiselkütus")</f>
        <v>0</v>
      </c>
      <c r="K7" s="72">
        <f>COUNTIFS((Kõik!G8:G246),"=Raplamaa",(Kõik!E8:E246),"=Diiselkütus")</f>
        <v>0</v>
      </c>
      <c r="L7" s="72">
        <f>COUNTIFS((Kõik!G8:G246),"=Saaremaa",(Kõik!E8:E246),"=Diiselkütus")</f>
        <v>0</v>
      </c>
      <c r="M7" s="72">
        <f>COUNTIFS((Kõik!G8:G246),"=Tartumaa",(Kõik!E8:E246),"=Diiselkütus")</f>
        <v>0</v>
      </c>
      <c r="N7" s="72">
        <f>COUNTIFS((Kõik!G8:G246),"=Valgamaa",(Kõik!E8:E246),"=Diiselkütus")</f>
        <v>0</v>
      </c>
      <c r="O7" s="72">
        <f>COUNTIFS((Kõik!G8:G246),"=Viljandimaa",(Kõik!E8:E246),"=Diiselkütus")</f>
        <v>0</v>
      </c>
      <c r="P7" s="72">
        <f>COUNTIFS((Kõik!G8:G246),"=Võrumaa",(Kõik!E8:E246),"=Diiselkütus")</f>
        <v>0</v>
      </c>
      <c r="Q7" s="64">
        <f t="shared" ref="Q7:Q8" si="1">SUM(B7:P7)</f>
        <v>1</v>
      </c>
      <c r="R7" s="141"/>
    </row>
    <row r="8" spans="1:18" x14ac:dyDescent="0.25">
      <c r="A8" s="70" t="s">
        <v>696</v>
      </c>
      <c r="B8" s="77">
        <f>COUNTIFS((Kõik!G14:G247),"=Harjumaa",(Kõik!E14:E247),"=Formaliin")</f>
        <v>0</v>
      </c>
      <c r="C8" s="72">
        <f>COUNTIFS((Kõik!G14:G247),"=Hiiumaa",(Kõik!E14:E247),"=Formaliin")</f>
        <v>0</v>
      </c>
      <c r="D8" s="72">
        <f>COUNTIFS((Kõik!G14:G247),"=Ida-Virumaa",(Kõik!E14:E247),"=Formaliin")</f>
        <v>0</v>
      </c>
      <c r="E8" s="72">
        <f>COUNTIFS((Kõik!G14:G247),"=Jõgevamaa",(Kõik!E14:E247),"=Formaliin")</f>
        <v>0</v>
      </c>
      <c r="F8" s="72">
        <f>COUNTIFS((Kõik!G14:G247),"=Järvamaa",(Kõik!E14:E247),"=Formaliin")</f>
        <v>0</v>
      </c>
      <c r="G8" s="72">
        <f>COUNTIFS((Kõik!G14:G247),"=Läänemaa",(Kõik!E14:E247),"=Formaliin")</f>
        <v>0</v>
      </c>
      <c r="H8" s="72">
        <f>COUNTIFS((Kõik!G14:G247),"=Lääne-Virumaa",(Kõik!E14:E247),"=Formaliin")</f>
        <v>0</v>
      </c>
      <c r="I8" s="72">
        <f>COUNTIFS((Kõik!G14:G247),"=Põlvamaa",(Kõik!E14:E247),"=Formaliin")</f>
        <v>0</v>
      </c>
      <c r="J8" s="72">
        <f>COUNTIFS((Kõik!G14:G247),"=Pärnumaa",(Kõik!E14:E247),"=Formaliin")</f>
        <v>0</v>
      </c>
      <c r="K8" s="72">
        <f>COUNTIFS((Kõik!G14:G247),"=Raplamaa",(Kõik!E14:E247),"=Formaliin")</f>
        <v>0</v>
      </c>
      <c r="L8" s="72">
        <f>COUNTIFS((Kõik!G14:G247),"=Saaremaa",(Kõik!E14:E247),"=Formaliin")</f>
        <v>0</v>
      </c>
      <c r="M8" s="72">
        <f>COUNTIFS((Kõik!G14:G247),"=Tartumaa",(Kõik!E14:E247),"=Formaliin")</f>
        <v>0</v>
      </c>
      <c r="N8" s="72">
        <f>COUNTIFS((Kõik!G14:G247),"=Valgamaa",(Kõik!E14:E247),"=Formaliin")</f>
        <v>0</v>
      </c>
      <c r="O8" s="72">
        <f>COUNTIFS((Kõik!G14:G247),"=Viljandimaa",(Kõik!E14:E247),"=Formaliin")</f>
        <v>0</v>
      </c>
      <c r="P8" s="72">
        <f>COUNTIFS((Kõik!G14:G247),"=Võrumaa",(Kõik!E14:E247),"=Formaliin")</f>
        <v>0</v>
      </c>
      <c r="Q8" s="64">
        <f t="shared" si="1"/>
        <v>0</v>
      </c>
      <c r="R8" s="141"/>
    </row>
    <row r="9" spans="1:18" x14ac:dyDescent="0.25">
      <c r="A9" s="70" t="s">
        <v>188</v>
      </c>
      <c r="B9" s="77">
        <f>COUNTIFS((Kõik!G8:G244),"=Harjumaa",(Kõik!E8:E244),"=Gaas")</f>
        <v>13</v>
      </c>
      <c r="C9" s="72">
        <f>COUNTIFS((Kõik!G8:G244),"=Hiiumaa",(Kõik!E8:E244),"=Gaas")</f>
        <v>0</v>
      </c>
      <c r="D9" s="72">
        <f>COUNTIFS((Kõik!G8:G244),"=Ida-Virumaa",(Kõik!E8:E244),"=Gaas")</f>
        <v>4</v>
      </c>
      <c r="E9" s="72">
        <f>COUNTIFS((Kõik!G8:G244),"=Jõgevamaa",(Kõik!E8:E244),"=Gaas")</f>
        <v>1</v>
      </c>
      <c r="F9" s="72">
        <f>COUNTIFS((Kõik!G8:G244),"=Järvamaa",(Kõik!E8:E244),"=Gaas")</f>
        <v>5</v>
      </c>
      <c r="G9" s="72">
        <f>COUNTIFS((Kõik!G8:G244),"=Läänemaa",(Kõik!E8:E244),"=Gaas")</f>
        <v>2</v>
      </c>
      <c r="H9" s="72">
        <f>COUNTIFS((Kõik!G8:G244),"=Lääne-Virumaa",(Kõik!E8:E244),"=Gaas")</f>
        <v>6</v>
      </c>
      <c r="I9" s="72">
        <f>COUNTIFS((Kõik!G8:G244),"=Põlvamaa",(Kõik!E8:E244),"=Gaas")</f>
        <v>0</v>
      </c>
      <c r="J9" s="72">
        <f>COUNTIFS((Kõik!G8:G244),"=Pärnumaa",(Kõik!E8:E244),"=Gaas")</f>
        <v>2</v>
      </c>
      <c r="K9" s="72">
        <f>COUNTIFS((Kõik!G8:G244),"=Raplamaa",(Kõik!E8:E244),"=Gaas")</f>
        <v>2</v>
      </c>
      <c r="L9" s="72">
        <f>COUNTIFS((Kõik!G8:G244),"=Saaremaa",(Kõik!E8:E244),"=Gaas")</f>
        <v>2</v>
      </c>
      <c r="M9" s="72">
        <f>COUNTIFS((Kõik!G8:G244),"=Tartumaa",(Kõik!E8:E244),"=Gaas")</f>
        <v>12</v>
      </c>
      <c r="N9" s="72">
        <f>COUNTIFS((Kõik!G8:G244),"=Valgamaa",(Kõik!E8:E244),"=Gaas")</f>
        <v>2</v>
      </c>
      <c r="O9" s="72">
        <f>COUNTIFS((Kõik!G8:G244),"=Viljandimaa",(Kõik!E8:E244),"=Gaas")</f>
        <v>3</v>
      </c>
      <c r="P9" s="72">
        <f>COUNTIFS((Kõik!G8:G244),"=Võrumaa",(Kõik!E8:E244),"=Gaas")</f>
        <v>4</v>
      </c>
      <c r="Q9" s="64">
        <f t="shared" si="0"/>
        <v>58</v>
      </c>
      <c r="R9" s="141"/>
    </row>
    <row r="10" spans="1:18" x14ac:dyDescent="0.25">
      <c r="A10" s="70" t="s">
        <v>203</v>
      </c>
      <c r="B10" s="77">
        <f>COUNTIFS((Kõik!G8:G244),"=Harjumaa",(Kõik!E8:E244),"=Galvaanika")</f>
        <v>5</v>
      </c>
      <c r="C10" s="72">
        <f>COUNTIFS((Kõik!G8:G244),"=Hiiumaa",(Kõik!E8:E244),"=Galvaanika")</f>
        <v>0</v>
      </c>
      <c r="D10" s="72">
        <f>COUNTIFS((Kõik!G8:G244),"=Ida-Virumaa",(Kõik!E8:E244),"=Galvaanika")</f>
        <v>0</v>
      </c>
      <c r="E10" s="72">
        <f>COUNTIFS((Kõik!G8:G244),"=Jõgevamaa",(Kõik!E8:E244),"=Galvaanika")</f>
        <v>0</v>
      </c>
      <c r="F10" s="72">
        <f>COUNTIFS((Kõik!G8:G244),"=Järvamaa",(Kõik!E8:E244),"=Galvaanika")</f>
        <v>0</v>
      </c>
      <c r="G10" s="72">
        <f>COUNTIFS((Kõik!G8:G244),"=Läänemaa",(Kõik!E8:E244),"=Galvaanika")</f>
        <v>0</v>
      </c>
      <c r="H10" s="72">
        <f>COUNTIFS((Kõik!G8:G244),"=Lääne-Virumaa",(Kõik!E8:E244),"=Galvaanika")</f>
        <v>0</v>
      </c>
      <c r="I10" s="72">
        <f>COUNTIFS((Kõik!G8:G244),"=Põlvamaa",(Kõik!E8:E244),"=Galvaanika")</f>
        <v>0</v>
      </c>
      <c r="J10" s="72">
        <f>COUNTIFS((Kõik!G8:G244),"=Pärnumaa",(Kõik!E8:E244),"=Galvaanika")</f>
        <v>0</v>
      </c>
      <c r="K10" s="72">
        <f>COUNTIFS((Kõik!G8:G244),"=Raplamaa",(Kõik!E8:E244),"=Galvaanika")</f>
        <v>0</v>
      </c>
      <c r="L10" s="72">
        <f>COUNTIFS((Kõik!G8:G244),"=Saaremaa",(Kõik!E8:E244),"=Galvaanika")</f>
        <v>0</v>
      </c>
      <c r="M10" s="72">
        <f>COUNTIFS((Kõik!G8:G244),"=Tartumaa",(Kõik!E8:E244),"=Galvaanika")</f>
        <v>0</v>
      </c>
      <c r="N10" s="72">
        <f>COUNTIFS((Kõik!G8:G244),"=Valgamaa",(Kõik!E8:E244),"=Galvaanika")</f>
        <v>0</v>
      </c>
      <c r="O10" s="72">
        <f>COUNTIFS((Kõik!G8:G244),"=Viljandimaa",(Kõik!E8:E244),"=Galvaanika")</f>
        <v>0</v>
      </c>
      <c r="P10" s="72">
        <f>COUNTIFS((Kõik!G8:G244),"=Võrumaa",(Kõik!E8:E244),"=Galvaanika")</f>
        <v>0</v>
      </c>
      <c r="Q10" s="64">
        <f t="shared" si="0"/>
        <v>5</v>
      </c>
      <c r="R10" s="141"/>
    </row>
    <row r="11" spans="1:18" x14ac:dyDescent="0.25">
      <c r="A11" s="70" t="s">
        <v>252</v>
      </c>
      <c r="B11" s="77">
        <f>COUNTIFS((Kõik!G8:G244),"=Harjumaa",(Kõik!E8:E244),"=Hulgimüük")</f>
        <v>3</v>
      </c>
      <c r="C11" s="72">
        <f>COUNTIFS((Kõik!G8:G244),"=Hiiumaa",(Kõik!E8:E244),"=Hulgimüük")</f>
        <v>0</v>
      </c>
      <c r="D11" s="72">
        <f>COUNTIFS((Kõik!G8:G244),"=Ida-Virumaa",(Kõik!E8:E244),"=Hulgimüük")</f>
        <v>0</v>
      </c>
      <c r="E11" s="72">
        <f>COUNTIFS((Kõik!G8:G244),"=Jõgevamaa",(Kõik!E8:E244),"=Hulgimüük")</f>
        <v>0</v>
      </c>
      <c r="F11" s="72">
        <f>COUNTIFS((Kõik!G8:G244),"=Järvamaa",(Kõik!E8:E244),"=Hulgimüük")</f>
        <v>0</v>
      </c>
      <c r="G11" s="72">
        <f>COUNTIFS((Kõik!G8:G244),"=Läänemaa",(Kõik!E8:E244),"=Hulgimüük")</f>
        <v>0</v>
      </c>
      <c r="H11" s="72">
        <f>COUNTIFS((Kõik!G8:G244),"=Lääne-Virumaa",(Kõik!E8:E244),"=Hulgimüük")</f>
        <v>0</v>
      </c>
      <c r="I11" s="72">
        <f>COUNTIFS((Kõik!G8:G244),"=Põlvamaa",(Kõik!E8:E244),"=Hulgimüük")</f>
        <v>0</v>
      </c>
      <c r="J11" s="72">
        <f>COUNTIFS((Kõik!G8:G244),"=Pärnumaa",(Kõik!E8:E244),"=Hulgimüük")</f>
        <v>0</v>
      </c>
      <c r="K11" s="72">
        <f>COUNTIFS((Kõik!G8:G244),"=Raplamaa",(Kõik!E8:E244),"=Hulgimüük")</f>
        <v>2</v>
      </c>
      <c r="L11" s="72">
        <f>COUNTIFS((Kõik!G8:G244),"=Saaremaa",(Kõik!E8:E244),"=Hulgimüük")</f>
        <v>0</v>
      </c>
      <c r="M11" s="72">
        <f>COUNTIFS((Kõik!G8:G244),"=Tartumaa",(Kõik!E8:E244),"=Hulgimüük")</f>
        <v>0</v>
      </c>
      <c r="N11" s="72">
        <f>COUNTIFS((Kõik!G8:G244),"=Valgamaa",(Kõik!E8:E244),"=Hulgimüük")</f>
        <v>0</v>
      </c>
      <c r="O11" s="72">
        <f>COUNTIFS((Kõik!G8:G244),"=Viljandimaa",(Kõik!E8:E244),"=Hulgimüük")</f>
        <v>0</v>
      </c>
      <c r="P11" s="72">
        <f>COUNTIFS((Kõik!G8:G244),"=Võrumaa",(Kõik!E8:E244),"=Hulgimüük")</f>
        <v>0</v>
      </c>
      <c r="Q11" s="64">
        <f t="shared" si="0"/>
        <v>5</v>
      </c>
      <c r="R11" s="141"/>
    </row>
    <row r="12" spans="1:18" x14ac:dyDescent="0.25">
      <c r="A12" s="70" t="s">
        <v>357</v>
      </c>
      <c r="B12" s="77">
        <f>COUNTIFS((Kõik!G8:G244),"=Harjumaa",(Kõik!E8:E244),"=Jäätmed")</f>
        <v>1</v>
      </c>
      <c r="C12" s="72">
        <f>COUNTIFS((Kõik!G8:G244),"=Hiiumaa",(Kõik!E8:E244),"=Jäätmed")</f>
        <v>0</v>
      </c>
      <c r="D12" s="72">
        <f>COUNTIFS((Kõik!G8:G244),"=Ida-Virumaa",(Kõik!E8:E244),"=Jäätmed")</f>
        <v>3</v>
      </c>
      <c r="E12" s="72">
        <f>COUNTIFS((Kõik!G8:G244),"=Jõgevamaa",(Kõik!E8:E244),"=Jäätmed")</f>
        <v>0</v>
      </c>
      <c r="F12" s="72">
        <f>COUNTIFS((Kõik!G8:G244),"=Järvamaa",(Kõik!E8:E244),"=Jäätmed")</f>
        <v>0</v>
      </c>
      <c r="G12" s="72">
        <f>COUNTIFS((Kõik!G8:G244),"=Läänemaa",(Kõik!E8:E244),"=Jäätmed")</f>
        <v>0</v>
      </c>
      <c r="H12" s="72">
        <f>COUNTIFS((Kõik!G8:G244),"=Lääne-Virumaa",(Kõik!E8:E244),"=Jäätmed")</f>
        <v>0</v>
      </c>
      <c r="I12" s="72">
        <f>COUNTIFS((Kõik!G8:G244),"=Põlvamaa",(Kõik!E8:E244),"=Jäätmed")</f>
        <v>0</v>
      </c>
      <c r="J12" s="72">
        <f>COUNTIFS((Kõik!G8:G244),"=Pärnumaa",(Kõik!E8:E244),"=Jäätmed")</f>
        <v>0</v>
      </c>
      <c r="K12" s="72">
        <f>COUNTIFS((Kõik!G8:G244),"=Raplamaa",(Kõik!E8:E244),"=Jäätmed")</f>
        <v>0</v>
      </c>
      <c r="L12" s="72">
        <f>COUNTIFS((Kõik!G8:G244),"=Saaremaa",(Kõik!E8:E244),"=Jäätmed")</f>
        <v>0</v>
      </c>
      <c r="M12" s="72">
        <f>COUNTIFS((Kõik!G8:G244),"=Tartumaa",(Kõik!E8:E244),"=Jäätmed")</f>
        <v>0</v>
      </c>
      <c r="N12" s="72">
        <f>COUNTIFS((Kõik!G8:G244),"=Valgamaa",(Kõik!E8:E244),"=Jäätmed")</f>
        <v>0</v>
      </c>
      <c r="O12" s="72">
        <f>COUNTIFS((Kõik!G8:G244),"=Viljandimaa",(Kõik!E8:E244),"=Jäätmed")</f>
        <v>0</v>
      </c>
      <c r="P12" s="72">
        <f>COUNTIFS((Kõik!G8:G244),"=Võrumaa",(Kõik!E8:E244),"=Jäätmed")</f>
        <v>0</v>
      </c>
      <c r="Q12" s="64">
        <f t="shared" si="0"/>
        <v>4</v>
      </c>
      <c r="R12" s="141"/>
    </row>
    <row r="13" spans="1:18" x14ac:dyDescent="0.25">
      <c r="A13" s="70" t="s">
        <v>250</v>
      </c>
      <c r="B13" s="77">
        <f>COUNTIFS((Kõik!G8:G244),"=Harjumaa",(Kõik!E8:E244),"=Katlamaja")</f>
        <v>4</v>
      </c>
      <c r="C13" s="72">
        <f>COUNTIFS((Kõik!G8:G244),"=Hiiumaa",(Kõik!E8:E244),"=Katlamaja")</f>
        <v>0</v>
      </c>
      <c r="D13" s="72">
        <f>COUNTIFS((Kõik!G8:G244),"=Ida-Virumaa",(Kõik!E8:E244),"=Katlamaja")</f>
        <v>0</v>
      </c>
      <c r="E13" s="72">
        <f>COUNTIFS((Kõik!G8:G244),"=Jõgevamaa",(Kõik!E8:E244),"=Katlamaja")</f>
        <v>0</v>
      </c>
      <c r="F13" s="72">
        <f>COUNTIFS((Kõik!G8:G244),"=Järvamaa",(Kõik!E8:E244),"=Katlamaja")</f>
        <v>0</v>
      </c>
      <c r="G13" s="72">
        <f>COUNTIFS((Kõik!G8:G244),"=Läänemaa",(Kõik!E8:E244),"=Katlamaja")</f>
        <v>0</v>
      </c>
      <c r="H13" s="72">
        <f>COUNTIFS((Kõik!G8:G244),"=Lääne-Virumaa",(Kõik!E8:E244),"=Katlamaja")</f>
        <v>0</v>
      </c>
      <c r="I13" s="72">
        <f>COUNTIFS((Kõik!G8:G244),"=Põlvamaa",(Kõik!E8:E244),"=Katlamaja")</f>
        <v>0</v>
      </c>
      <c r="J13" s="72">
        <f>COUNTIFS((Kõik!G8:G244),"=Pärnumaa",(Kõik!E8:E244),"=Katlamaja")</f>
        <v>0</v>
      </c>
      <c r="K13" s="72">
        <f>COUNTIFS((Kõik!G8:G244),"=Raplamaa",(Kõik!E8:E244),"=Katlamaja")</f>
        <v>0</v>
      </c>
      <c r="L13" s="72">
        <f>COUNTIFS((Kõik!G8:G244),"=Saaremaa",(Kõik!E8:E244),"=Katlamaja")</f>
        <v>0</v>
      </c>
      <c r="M13" s="72">
        <f>COUNTIFS((Kõik!G8:G244),"=Tartumaa",(Kõik!E8:E244),"=Katlamaja")</f>
        <v>0</v>
      </c>
      <c r="N13" s="72">
        <f>COUNTIFS((Kõik!G8:G244),"=Valgamaa",(Kõik!E8:E244),"=Katlamaja")</f>
        <v>0</v>
      </c>
      <c r="O13" s="72">
        <f>COUNTIFS((Kõik!G8:G244),"=Viljandimaa",(Kõik!E8:E244),"=Katlamaja")</f>
        <v>0</v>
      </c>
      <c r="P13" s="72">
        <f>COUNTIFS((Kõik!G8:G244),"=Võrumaa",(Kõik!E8:E244),"=Katlamaja")</f>
        <v>0</v>
      </c>
      <c r="Q13" s="64">
        <f t="shared" si="0"/>
        <v>4</v>
      </c>
      <c r="R13" s="141"/>
    </row>
    <row r="14" spans="1:18" x14ac:dyDescent="0.25">
      <c r="A14" s="70" t="s">
        <v>187</v>
      </c>
      <c r="B14" s="77">
        <f>COUNTIFS((Kõik!G8:G244),"=Harjumaa",(Kõik!E8:E244),"=Kloor")</f>
        <v>1</v>
      </c>
      <c r="C14" s="72">
        <f>COUNTIFS((Kõik!G8:G244),"=Hiiumaa",(Kõik!E8:E244),"=Kloor")</f>
        <v>0</v>
      </c>
      <c r="D14" s="72">
        <f>COUNTIFS((Kõik!G8:G244),"=Ida-Virumaa",(Kõik!E8:E244),"=Kloor")</f>
        <v>1</v>
      </c>
      <c r="E14" s="72">
        <f>COUNTIFS((Kõik!G8:G244),"=Jõgevamaa",(Kõik!E8:E244),"=Kloor")</f>
        <v>0</v>
      </c>
      <c r="F14" s="72">
        <f>COUNTIFS((Kõik!G8:G244),"=Järvamaa",(Kõik!E8:E244),"=Kloor")</f>
        <v>0</v>
      </c>
      <c r="G14" s="72">
        <f>COUNTIFS((Kõik!G8:G244),"=Läänemaa",(Kõik!E8:E244),"=Kloor")</f>
        <v>0</v>
      </c>
      <c r="H14" s="72">
        <f>COUNTIFS((Kõik!G8:G244),"=Lääne-Virumaa",(Kõik!E8:E244),"=Kloor")</f>
        <v>0</v>
      </c>
      <c r="I14" s="72">
        <f>COUNTIFS((Kõik!G8:G244),"=Põlvamaa",(Kõik!E8:E244),"=Kloor")</f>
        <v>0</v>
      </c>
      <c r="J14" s="72">
        <f>COUNTIFS((Kõik!G8:G244),"=Pärnumaa",(Kõik!E8:E244),"=Kloor")</f>
        <v>0</v>
      </c>
      <c r="K14" s="72">
        <f>COUNTIFS((Kõik!G8:G244),"=Raplamaa",(Kõik!E8:E244),"=Kloor")</f>
        <v>0</v>
      </c>
      <c r="L14" s="72">
        <f>COUNTIFS((Kõik!G8:G244),"=Saaremaa",(Kõik!E8:E244),"=Kloor")</f>
        <v>0</v>
      </c>
      <c r="M14" s="72">
        <f>COUNTIFS((Kõik!G8:G244),"=Tartumaa",(Kõik!E8:E244),"=Kloor")</f>
        <v>0</v>
      </c>
      <c r="N14" s="72">
        <f>COUNTIFS((Kõik!G8:G244),"=Valgamaa",(Kõik!E8:E244),"=Kloor")</f>
        <v>0</v>
      </c>
      <c r="O14" s="72">
        <f>COUNTIFS((Kõik!G8:G244),"=Viljandimaa",(Kõik!E8:E244),"=Kloor")</f>
        <v>0</v>
      </c>
      <c r="P14" s="72">
        <f>COUNTIFS((Kõik!G8:G244),"=Võrumaa",(Kõik!E8:E244),"=Kloor")</f>
        <v>0</v>
      </c>
      <c r="Q14" s="64">
        <f t="shared" si="0"/>
        <v>2</v>
      </c>
      <c r="R14" s="141"/>
    </row>
    <row r="15" spans="1:18" x14ac:dyDescent="0.25">
      <c r="A15" s="70" t="s">
        <v>186</v>
      </c>
      <c r="B15" s="77">
        <f>COUNTIFS((Kõik!G8:G244),"=Harjumaa",(Kõik!E8:E244),"=Kroom")</f>
        <v>1</v>
      </c>
      <c r="C15" s="72">
        <f>COUNTIFS((Kõik!G8:G244),"=Hiiumaa",(Kõik!E8:E244),"=Kroom")</f>
        <v>0</v>
      </c>
      <c r="D15" s="72">
        <f>COUNTIFS((Kõik!G8:G244),"=Ida-Virumaa",(Kõik!E8:E244),"=Kroom")</f>
        <v>0</v>
      </c>
      <c r="E15" s="72">
        <f>COUNTIFS((Kõik!G8:G244),"=Jõgevamaa",(Kõik!E8:E244),"=Kroom")</f>
        <v>0</v>
      </c>
      <c r="F15" s="72">
        <f>COUNTIFS((Kõik!G8:G244),"=Järvamaa",(Kõik!E8:E244),"=Kroom")</f>
        <v>0</v>
      </c>
      <c r="G15" s="72">
        <f>COUNTIFS((Kõik!G8:G244),"=Läänemaa",(Kõik!E8:E244),"=Kroom")</f>
        <v>0</v>
      </c>
      <c r="H15" s="72">
        <f>COUNTIFS((Kõik!G8:G244),"=Lääne-Virumaa",(Kõik!E8:E244),"=Kroom")</f>
        <v>0</v>
      </c>
      <c r="I15" s="72">
        <f>COUNTIFS((Kõik!G8:G244),"=Põlvamaa",(Kõik!E8:E244),"=Kroom")</f>
        <v>0</v>
      </c>
      <c r="J15" s="72">
        <f>COUNTIFS((Kõik!G8:G244),"=Pärnumaa",(Kõik!E8:E244),"=Kroom")</f>
        <v>0</v>
      </c>
      <c r="K15" s="72">
        <f>COUNTIFS((Kõik!G8:G244),"=Raplamaa",(Kõik!E8:E244),"=Kroom")</f>
        <v>0</v>
      </c>
      <c r="L15" s="72">
        <f>COUNTIFS((Kõik!G8:G244),"=Saaremaa",(Kõik!E8:E244),"=Kroom")</f>
        <v>0</v>
      </c>
      <c r="M15" s="72">
        <f>COUNTIFS((Kõik!G8:G244),"=Tartumaa",(Kõik!E8:E244),"=Kroom")</f>
        <v>0</v>
      </c>
      <c r="N15" s="72">
        <f>COUNTIFS((Kõik!G8:G244),"=Valgamaa",(Kõik!E8:E244),"=Kroom")</f>
        <v>0</v>
      </c>
      <c r="O15" s="72">
        <f>COUNTIFS((Kõik!G8:G244),"=Viljandimaa",(Kõik!E8:E244),"=Kroom")</f>
        <v>0</v>
      </c>
      <c r="P15" s="72">
        <f>COUNTIFS((Kõik!G8:G244),"=Võrumaa",(Kõik!E8:E244),"=Kroom")</f>
        <v>0</v>
      </c>
      <c r="Q15" s="64">
        <f t="shared" si="0"/>
        <v>1</v>
      </c>
      <c r="R15" s="141"/>
    </row>
    <row r="16" spans="1:18" x14ac:dyDescent="0.25">
      <c r="A16" s="70" t="s">
        <v>193</v>
      </c>
      <c r="B16" s="77">
        <f>COUNTIFS((Kõik!G8:G244),"=Harjumaa",(Kõik!E8:E244),"=Külmhoone")</f>
        <v>13</v>
      </c>
      <c r="C16" s="72">
        <f>COUNTIFS((Kõik!G8:G244),"=Hiiumaa",(Kõik!E8:E244),"=Külmhoone")</f>
        <v>0</v>
      </c>
      <c r="D16" s="72">
        <f>COUNTIFS((Kõik!G8:G244),"=Ida-Virumaa",(Kõik!E8:E244),"=Külmhoone")</f>
        <v>1</v>
      </c>
      <c r="E16" s="72">
        <f>COUNTIFS((Kõik!G8:G244),"=Jõgevamaa",(Kõik!E8:E244),"=Külmhoone")</f>
        <v>0</v>
      </c>
      <c r="F16" s="72">
        <f>COUNTIFS((Kõik!G8:G244),"=Järvamaa",(Kõik!E8:E244),"=Külmhoone")</f>
        <v>0</v>
      </c>
      <c r="G16" s="72">
        <f>COUNTIFS((Kõik!G8:G244),"=Läänemaa",(Kõik!E8:E244),"=Külmhoone")</f>
        <v>0</v>
      </c>
      <c r="H16" s="72">
        <f>COUNTIFS((Kõik!G8:G244),"=Lääne-Virumaa",(Kõik!E8:E244),"=Külmhoone")</f>
        <v>2</v>
      </c>
      <c r="I16" s="72">
        <f>COUNTIFS((Kõik!G8:G244),"=Põlvamaa",(Kõik!E8:E244),"=Külmhoone")</f>
        <v>1</v>
      </c>
      <c r="J16" s="72">
        <f>COUNTIFS((Kõik!G8:G244),"=Pärnumaa",(Kõik!E8:E244),"=Külmhoone")</f>
        <v>2</v>
      </c>
      <c r="K16" s="72">
        <f>COUNTIFS((Kõik!G8:G244),"=Raplamaa",(Kõik!E8:E244),"=Külmhoone")</f>
        <v>1</v>
      </c>
      <c r="L16" s="72">
        <f>COUNTIFS((Kõik!G8:G244),"=Saaremaa",(Kõik!E8:E244),"=Külmhoone")</f>
        <v>3</v>
      </c>
      <c r="M16" s="72">
        <f>COUNTIFS((Kõik!G8:G244),"=Tartumaa",(Kõik!E8:E244),"=Külmhoone")</f>
        <v>2</v>
      </c>
      <c r="N16" s="72">
        <f>COUNTIFS((Kõik!G8:G244),"=Valgamaa",(Kõik!E8:E244),"=Külmhoone")</f>
        <v>1</v>
      </c>
      <c r="O16" s="72">
        <f>COUNTIFS((Kõik!G8:G244),"=Viljandimaa",(Kõik!E8:E244),"=Külmhoone")</f>
        <v>1</v>
      </c>
      <c r="P16" s="72">
        <f>COUNTIFS((Kõik!G8:G244),"=Võrumaa",(Kõik!E8:E244),"=Külmhoone")</f>
        <v>0</v>
      </c>
      <c r="Q16" s="64">
        <f t="shared" si="0"/>
        <v>27</v>
      </c>
      <c r="R16" s="141"/>
    </row>
    <row r="17" spans="1:18" x14ac:dyDescent="0.25">
      <c r="A17" s="70" t="s">
        <v>228</v>
      </c>
      <c r="B17" s="77">
        <f>COUNTIFS((Kõik!G8:G244),"=Harjumaa",(Kõik!E8:E244),"=Lõhkematerjal")</f>
        <v>1</v>
      </c>
      <c r="C17" s="72">
        <f>COUNTIFS((Kõik!G8:G244),"=Hiiumaa",(Kõik!E8:E244),"=Lõhkematerjal")</f>
        <v>0</v>
      </c>
      <c r="D17" s="72">
        <f>COUNTIFS((Kõik!G8:G244),"=Ida-Virumaa",(Kõik!E8:E244),"=Lõhkematerjal")</f>
        <v>1</v>
      </c>
      <c r="E17" s="72">
        <f>COUNTIFS((Kõik!G8:G244),"=Jõgevamaa",(Kõik!E8:E244),"=Lõhkematerjal")</f>
        <v>0</v>
      </c>
      <c r="F17" s="72">
        <f>COUNTIFS((Kõik!G8:G244),"=Järvamaa",(Kõik!E8:E244),"=Lõhkematerjal")</f>
        <v>0</v>
      </c>
      <c r="G17" s="72">
        <f>COUNTIFS((Kõik!G8:G244),"=Läänemaa",(Kõik!E8:E244),"=Lõhkematerjal")</f>
        <v>0</v>
      </c>
      <c r="H17" s="72">
        <f>COUNTIFS((Kõik!G8:G244),"=Lääne-Virumaa",(Kõik!E8:E244),"=Lõhkematerjal")</f>
        <v>2</v>
      </c>
      <c r="I17" s="72">
        <f>COUNTIFS((Kõik!G8:G244),"=Põlvamaa",(Kõik!E8:E244),"=Lõhkematerjal")</f>
        <v>0</v>
      </c>
      <c r="J17" s="72">
        <f>COUNTIFS((Kõik!G8:G244),"=Pärnumaa",(Kõik!E8:E244),"=Lõhkematerjal")</f>
        <v>0</v>
      </c>
      <c r="K17" s="72">
        <f>COUNTIFS((Kõik!G8:G244),"=Raplamaa",(Kõik!E8:E244),"=Lõhkematerjal")</f>
        <v>0</v>
      </c>
      <c r="L17" s="72">
        <f>COUNTIFS((Kõik!G8:G244),"=Saaremaa",(Kõik!E8:E244),"=Lõhkematerjal")</f>
        <v>0</v>
      </c>
      <c r="M17" s="72">
        <f>COUNTIFS((Kõik!G8:G244),"=Tartumaa",(Kõik!E8:E244),"=Lõhkematerjal")</f>
        <v>0</v>
      </c>
      <c r="N17" s="72">
        <f>COUNTIFS((Kõik!G8:G244),"=Valgamaa",(Kõik!E8:E244),"=Lõhkematerjal")</f>
        <v>0</v>
      </c>
      <c r="O17" s="72">
        <f>COUNTIFS((Kõik!G8:G244),"=Viljandimaa",(Kõik!E8:E244),"=Lõhkematerjal")</f>
        <v>0</v>
      </c>
      <c r="P17" s="72">
        <f>COUNTIFS((Kõik!G8:G244),"=Võrumaa",(Kõik!E8:E244),"=Lõhkematerjal")</f>
        <v>0</v>
      </c>
      <c r="Q17" s="64">
        <f t="shared" si="0"/>
        <v>4</v>
      </c>
      <c r="R17" s="141"/>
    </row>
    <row r="18" spans="1:18" x14ac:dyDescent="0.25">
      <c r="A18" s="70" t="s">
        <v>211</v>
      </c>
      <c r="B18" s="77">
        <f>COUNTIFS((Kõik!G8:G244),"=Harjumaa",(Kõik!E8:E244),"=Muldmetallid")</f>
        <v>0</v>
      </c>
      <c r="C18" s="72">
        <f>COUNTIFS((Kõik!G8:G244),"=Hiiumaa",(Kõik!E8:E244),"=Muldmetallid")</f>
        <v>0</v>
      </c>
      <c r="D18" s="72">
        <f>COUNTIFS((Kõik!G8:G244),"=Ida-Virumaa",(Kõik!E8:E244),"=Muldmetallid")</f>
        <v>1</v>
      </c>
      <c r="E18" s="72">
        <f>COUNTIFS((Kõik!G8:G244),"=Jõgevamaa",(Kõik!E8:E244),"=Muldmetallid")</f>
        <v>0</v>
      </c>
      <c r="F18" s="72">
        <f>COUNTIFS((Kõik!G8:G244),"=Järvamaa",(Kõik!E8:E244),"=Muldmetallid")</f>
        <v>0</v>
      </c>
      <c r="G18" s="72">
        <f>COUNTIFS((Kõik!G8:G244),"=Läänemaa",(Kõik!E8:E244),"=Muldmetallid")</f>
        <v>0</v>
      </c>
      <c r="H18" s="72">
        <f>COUNTIFS((Kõik!G8:G244),"=Lääne-Virumaa",(Kõik!E8:E244),"=Muldmetallid")</f>
        <v>0</v>
      </c>
      <c r="I18" s="72">
        <f>COUNTIFS((Kõik!G8:G244),"=Põlvamaa",(Kõik!E8:E244),"=Muldmetallid")</f>
        <v>0</v>
      </c>
      <c r="J18" s="72">
        <f>COUNTIFS((Kõik!G8:G244),"=Pärnumaa",(Kõik!E8:E244),"=Muldmetallid")</f>
        <v>0</v>
      </c>
      <c r="K18" s="72">
        <f>COUNTIFS((Kõik!G8:G244),"=Raplamaa",(Kõik!E8:E244),"=Muldmetallid")</f>
        <v>0</v>
      </c>
      <c r="L18" s="72">
        <f>COUNTIFS((Kõik!G8:G244),"=Saaremaa",(Kõik!E8:E244),"=Muldmetallid")</f>
        <v>0</v>
      </c>
      <c r="M18" s="72">
        <f>COUNTIFS((Kõik!G8:G244),"=Tartumaa",(Kõik!E8:E244),"=Muldmetallid")</f>
        <v>0</v>
      </c>
      <c r="N18" s="72">
        <f>COUNTIFS((Kõik!G8:G244),"=Valgamaa",(Kõik!E8:E244),"=Muldmetallid")</f>
        <v>0</v>
      </c>
      <c r="O18" s="72">
        <f>COUNTIFS((Kõik!G8:G244),"=Viljandimaa",(Kõik!E8:E244),"=Muldmetallid")</f>
        <v>0</v>
      </c>
      <c r="P18" s="72">
        <f>COUNTIFS((Kõik!G8:G244),"=Võrumaa",(Kõik!E8:E244),"=Muldmetallid")</f>
        <v>0</v>
      </c>
      <c r="Q18" s="64">
        <f t="shared" si="0"/>
        <v>1</v>
      </c>
      <c r="R18" s="141"/>
    </row>
    <row r="19" spans="1:18" x14ac:dyDescent="0.25">
      <c r="A19" s="70" t="s">
        <v>693</v>
      </c>
      <c r="B19" s="77">
        <f>COUNTIFS((Kõik!G8:G246),"=Harjumaa",(Kõik!E8:E246),"=Paber")</f>
        <v>1</v>
      </c>
      <c r="C19" s="72">
        <f>COUNTIFS((Kõik!G8:G246),"=Hiiumaa",(Kõik!E8:E246),"=Paber")</f>
        <v>0</v>
      </c>
      <c r="D19" s="72">
        <f>COUNTIFS((Kõik!G8:G246),"=Ida-Virumaa",(Kõik!E8:E246),"=Paber")</f>
        <v>0</v>
      </c>
      <c r="E19" s="72">
        <f>COUNTIFS((Kõik!G8:G246),"=Jõgevamaa",(Kõik!E8:E246),"=Paber")</f>
        <v>0</v>
      </c>
      <c r="F19" s="72">
        <f>COUNTIFS((Kõik!G8:G246),"=Järvamaa",(Kõik!E8:E246),"=Paber")</f>
        <v>0</v>
      </c>
      <c r="G19" s="72">
        <f>COUNTIFS((Kõik!G8:G246),"=Läänemaa",(Kõik!E8:E246),"=Paber")</f>
        <v>0</v>
      </c>
      <c r="H19" s="72">
        <f>COUNTIFS((Kõik!G8:G246),"=Lääne-Virumaa",(Kõik!E8:E246),"=Paber")</f>
        <v>0</v>
      </c>
      <c r="I19" s="72">
        <f>COUNTIFS((Kõik!G8:G246),"=Põlvamaa",(Kõik!E8:E246),"=Paber")</f>
        <v>0</v>
      </c>
      <c r="J19" s="72">
        <f>COUNTIFS((Kõik!G8:G246),"=Pärnumaa",(Kõik!E8:E246),"=Paber")</f>
        <v>0</v>
      </c>
      <c r="K19" s="72">
        <f>COUNTIFS((Kõik!G8:G246),"=Raplamaa",(Kõik!E8:E246),"=Paber")</f>
        <v>0</v>
      </c>
      <c r="L19" s="72">
        <f>COUNTIFS((Kõik!G8:G246),"=Saaremaa",(Kõik!E8:E246),"=Paber")</f>
        <v>0</v>
      </c>
      <c r="M19" s="72">
        <f>COUNTIFS((Kõik!G8:G246),"=Tartumaa",(Kõik!E8:E246),"=Paber")</f>
        <v>0</v>
      </c>
      <c r="N19" s="72">
        <f>COUNTIFS((Kõik!G8:G246),"=Valgamaa",(Kõik!E8:E246),"=Paber")</f>
        <v>0</v>
      </c>
      <c r="O19" s="72">
        <f>COUNTIFS((Kõik!G8:G246),"=Viljandimaa",(Kõik!E8:E246),"=Paber")</f>
        <v>0</v>
      </c>
      <c r="P19" s="72">
        <f>COUNTIFS((Kõik!G8:G246),"=Võrumaa",(Kõik!E8:E246),"=Paber")</f>
        <v>0</v>
      </c>
      <c r="Q19" s="64">
        <f t="shared" ref="Q19:Q20" si="2">SUM(B19:P19)</f>
        <v>1</v>
      </c>
      <c r="R19" s="141"/>
    </row>
    <row r="20" spans="1:18" x14ac:dyDescent="0.25">
      <c r="A20" s="70" t="s">
        <v>692</v>
      </c>
      <c r="B20" s="77">
        <f>COUNTIFS((Kõik!G14:G247),"=Harjumaa",(Kõik!E14:E247),"=Poroloon")</f>
        <v>2</v>
      </c>
      <c r="C20" s="72">
        <f>COUNTIFS((Kõik!G14:G247),"=Hiiumaa",(Kõik!E14:E247),"=Poroloon")</f>
        <v>0</v>
      </c>
      <c r="D20" s="72">
        <f>COUNTIFS((Kõik!G14:G247),"=Ida-Virumaa",(Kõik!E14:E247),"=Poroloon")</f>
        <v>0</v>
      </c>
      <c r="E20" s="72">
        <f>COUNTIFS((Kõik!G14:G247),"=Jõgevamaa",(Kõik!E14:E247),"=Poroloon")</f>
        <v>0</v>
      </c>
      <c r="F20" s="72">
        <f>COUNTIFS((Kõik!G14:G247),"=Järvamaa",(Kõik!E14:E247),"=Poroloon")</f>
        <v>0</v>
      </c>
      <c r="G20" s="72">
        <f>COUNTIFS((Kõik!G14:G247),"=Läänemaa",(Kõik!E14:E247),"=Poroloon")</f>
        <v>0</v>
      </c>
      <c r="H20" s="72">
        <f>COUNTIFS((Kõik!G14:G247),"=Lääne-Virumaa",(Kõik!E14:E247),"=Poroloon")</f>
        <v>0</v>
      </c>
      <c r="I20" s="72">
        <f>COUNTIFS((Kõik!G14:G247),"=Põlvamaa",(Kõik!E14:E247),"=Poroloon")</f>
        <v>0</v>
      </c>
      <c r="J20" s="72">
        <f>COUNTIFS((Kõik!G14:G247),"=Pärnumaa",(Kõik!E14:E247),"=Poroloon")</f>
        <v>0</v>
      </c>
      <c r="K20" s="72">
        <f>COUNTIFS((Kõik!G14:G247),"=Raplamaa",(Kõik!E14:E247),"=Poroloon")</f>
        <v>0</v>
      </c>
      <c r="L20" s="72">
        <f>COUNTIFS((Kõik!G14:G247),"=Saaremaa",(Kõik!E14:E247),"=Poroloon")</f>
        <v>0</v>
      </c>
      <c r="M20" s="72">
        <f>COUNTIFS((Kõik!G14:G247),"=Tartumaa",(Kõik!E14:E247),"=Poroloon")</f>
        <v>0</v>
      </c>
      <c r="N20" s="72">
        <f>COUNTIFS((Kõik!G14:G247),"=Valgamaa",(Kõik!E14:E247),"=Poroloon")</f>
        <v>0</v>
      </c>
      <c r="O20" s="72">
        <f>COUNTIFS((Kõik!G14:G247),"=Viljandimaa",(Kõik!E14:E247),"=Poroloon")</f>
        <v>0</v>
      </c>
      <c r="P20" s="72">
        <f>COUNTIFS((Kõik!G14:G247),"=Võrumaa",(Kõik!E14:E247),"=Poroloon")</f>
        <v>0</v>
      </c>
      <c r="Q20" s="64">
        <f t="shared" si="2"/>
        <v>2</v>
      </c>
      <c r="R20" s="141"/>
    </row>
    <row r="21" spans="1:18" x14ac:dyDescent="0.25">
      <c r="A21" s="70" t="s">
        <v>184</v>
      </c>
      <c r="B21" s="77">
        <f>COUNTIFS((Kõik!G8:G244),"=Harjumaa",(Kõik!E8:E244),"=Põlevkiviõli")</f>
        <v>0</v>
      </c>
      <c r="C21" s="72">
        <f>COUNTIFS((Kõik!G8:G244),"=Hiiumaa",(Kõik!E8:E244),"=Põlevkiviõli")</f>
        <v>0</v>
      </c>
      <c r="D21" s="72">
        <f>COUNTIFS((Kõik!G8:G244),"=Ida-Virumaa",(Kõik!E8:E244),"=Põlevkiviõli")</f>
        <v>8</v>
      </c>
      <c r="E21" s="72">
        <f>COUNTIFS((Kõik!G8:G244),"=Jõgevamaa",(Kõik!E8:E244),"=Põlevkiviõli")</f>
        <v>0</v>
      </c>
      <c r="F21" s="72">
        <f>COUNTIFS((Kõik!G8:G244),"=Järvamaa",(Kõik!E8:E244),"=Põlevkiviõli")</f>
        <v>0</v>
      </c>
      <c r="G21" s="72">
        <f>COUNTIFS((Kõik!G8:G244),"=Läänemaa",(Kõik!E8:E244),"=Põlevkiviõli")</f>
        <v>0</v>
      </c>
      <c r="H21" s="72">
        <f>COUNTIFS((Kõik!G8:G244),"=Lääne-Virumaa",(Kõik!E8:E244),"=Põlevkiviõli")</f>
        <v>0</v>
      </c>
      <c r="I21" s="72">
        <f>COUNTIFS((Kõik!G8:G244),"=Põlvamaa",(Kõik!E8:E244),"=Põlevkiviõli")</f>
        <v>0</v>
      </c>
      <c r="J21" s="72">
        <f>COUNTIFS((Kõik!G8:G244),"=Pärnumaa",(Kõik!E8:E244),"=Põlevkiviõli")</f>
        <v>0</v>
      </c>
      <c r="K21" s="72">
        <f>COUNTIFS((Kõik!G8:G244),"=Raplamaa",(Kõik!E8:E244),"=Põlevkiviõli")</f>
        <v>0</v>
      </c>
      <c r="L21" s="72">
        <f>COUNTIFS((Kõik!G8:G244),"=Saaremaa",(Kõik!E8:E244),"=Põlevkiviõli")</f>
        <v>0</v>
      </c>
      <c r="M21" s="72">
        <f>COUNTIFS((Kõik!G8:G244),"=Tartumaa",(Kõik!E8:E244),"=Põlevkiviõli")</f>
        <v>0</v>
      </c>
      <c r="N21" s="72">
        <f>COUNTIFS((Kõik!G8:G244),"=Valgamaa",(Kõik!E8:E244),"=Põlevkiviõli")</f>
        <v>0</v>
      </c>
      <c r="O21" s="72">
        <f>COUNTIFS((Kõik!G8:G244),"=Viljandimaa",(Kõik!E8:E244),"=Põlevkiviõli")</f>
        <v>0</v>
      </c>
      <c r="P21" s="72">
        <f>COUNTIFS((Kõik!G8:G244),"=Võrumaa",(Kõik!E8:E244),"=Põlevkiviõli")</f>
        <v>0</v>
      </c>
      <c r="Q21" s="64">
        <f t="shared" si="0"/>
        <v>8</v>
      </c>
      <c r="R21" s="141"/>
    </row>
    <row r="22" spans="1:18" x14ac:dyDescent="0.25">
      <c r="A22" s="70" t="s">
        <v>695</v>
      </c>
      <c r="B22" s="77">
        <f>COUNTIFS((Kõik!G8:G246),"=Harjumaa",(Kõik!E8:E246),"=Pärm")</f>
        <v>0</v>
      </c>
      <c r="C22" s="72">
        <f>COUNTIFS((Kõik!G8:G246),"=Hiiumaa",(Kõik!E8:E246),"=Pärm")</f>
        <v>0</v>
      </c>
      <c r="D22" s="72">
        <f>COUNTIFS((Kõik!G8:G246),"=Ida-Virumaa",(Kõik!E8:E246),"=Pärm")</f>
        <v>0</v>
      </c>
      <c r="E22" s="72">
        <f>COUNTIFS((Kõik!G8:G246),"=Jõgevamaa",(Kõik!E8:E246),"=Pärm")</f>
        <v>0</v>
      </c>
      <c r="F22" s="72">
        <f>COUNTIFS((Kõik!G8:G246),"=Järvamaa",(Kõik!E8:E246),"=Pärm")</f>
        <v>0</v>
      </c>
      <c r="G22" s="72">
        <f>COUNTIFS((Kõik!G8:G246),"=Läänemaa",(Kõik!E8:E246),"=Pärm")</f>
        <v>0</v>
      </c>
      <c r="H22" s="72">
        <f>COUNTIFS((Kõik!G8:G246),"=Lääne-Virumaa",(Kõik!E8:E246),"=Pärm")</f>
        <v>0</v>
      </c>
      <c r="I22" s="72">
        <f>COUNTIFS((Kõik!G8:G246),"=Põlvamaa",(Kõik!E8:E246),"=Pärm")</f>
        <v>0</v>
      </c>
      <c r="J22" s="72">
        <f>COUNTIFS((Kõik!G8:G246),"=Pärnumaa",(Kõik!E8:E246),"=Pärm")</f>
        <v>0</v>
      </c>
      <c r="K22" s="72">
        <f>COUNTIFS((Kõik!G8:G246),"=Raplamaa",(Kõik!E8:E246),"=Pärm")</f>
        <v>1</v>
      </c>
      <c r="L22" s="72">
        <f>COUNTIFS((Kõik!G8:G246),"=Saaremaa",(Kõik!E8:E246),"=Pärm")</f>
        <v>0</v>
      </c>
      <c r="M22" s="72">
        <f>COUNTIFS((Kõik!G8:G246),"=Tartumaa",(Kõik!E8:E246),"=Pärm")</f>
        <v>0</v>
      </c>
      <c r="N22" s="72">
        <f>COUNTIFS((Kõik!G8:G246),"=Valgamaa",(Kõik!E8:E246),"=Pärm")</f>
        <v>0</v>
      </c>
      <c r="O22" s="72">
        <f>COUNTIFS((Kõik!G8:G246),"=Viljandimaa",(Kõik!E8:E246),"=Pärm")</f>
        <v>0</v>
      </c>
      <c r="P22" s="72">
        <f>COUNTIFS((Kõik!G8:G246),"=Võrumaa",(Kõik!E8:E246),"=Pärm")</f>
        <v>0</v>
      </c>
      <c r="Q22" s="64">
        <f t="shared" ref="Q22" si="3">SUM(B22:P22)</f>
        <v>1</v>
      </c>
      <c r="R22" s="141"/>
    </row>
    <row r="23" spans="1:18" x14ac:dyDescent="0.25">
      <c r="A23" s="70" t="s">
        <v>227</v>
      </c>
      <c r="B23" s="77">
        <f>COUNTIFS((Kõik!G8:G244),"=Harjumaa",(Kõik!E8:E244),"=Pürotehnika")</f>
        <v>3</v>
      </c>
      <c r="C23" s="72">
        <f>COUNTIFS((Kõik!G8:G244),"=Hiiumaa",(Kõik!E8:E244),"=Pürotehnika")</f>
        <v>0</v>
      </c>
      <c r="D23" s="72">
        <f>COUNTIFS((Kõik!G8:G244),"=Ida-Virumaa",(Kõik!E8:E244),"=Pürotehnika")</f>
        <v>0</v>
      </c>
      <c r="E23" s="72">
        <f>COUNTIFS((Kõik!G8:G244),"=Jõgevamaa",(Kõik!E8:E244),"=Pürotehnika")</f>
        <v>0</v>
      </c>
      <c r="F23" s="72">
        <f>COUNTIFS((Kõik!G8:G244),"=Järvamaa",(Kõik!E8:E244),"=Pürotehnika")</f>
        <v>0</v>
      </c>
      <c r="G23" s="72">
        <f>COUNTIFS((Kõik!G8:G244),"=Läänemaa",(Kõik!E8:E244),"=Pürotehnika")</f>
        <v>0</v>
      </c>
      <c r="H23" s="72">
        <f>COUNTIFS((Kõik!G8:G244),"=Lääne-Virumaa",(Kõik!E8:E244),"=Pürotehnika")</f>
        <v>2</v>
      </c>
      <c r="I23" s="72">
        <f>COUNTIFS((Kõik!G8:G244),"=Põlvamaa",(Kõik!E8:E244),"=Pürotehnika")</f>
        <v>0</v>
      </c>
      <c r="J23" s="72">
        <f>COUNTIFS((Kõik!G8:G244),"=Pärnumaa",(Kõik!E8:E244),"=Pürotehnika")</f>
        <v>0</v>
      </c>
      <c r="K23" s="72">
        <f>COUNTIFS((Kõik!G8:G244),"=Raplamaa",(Kõik!E8:E244),"=Pürotehnika")</f>
        <v>0</v>
      </c>
      <c r="L23" s="72">
        <f>COUNTIFS((Kõik!G8:G244),"=Saaremaa",(Kõik!E8:E244),"=Pürotehnika")</f>
        <v>0</v>
      </c>
      <c r="M23" s="72">
        <f>COUNTIFS((Kõik!G8:G244),"=Tartumaa",(Kõik!E8:E244),"=Pürotehnika")</f>
        <v>2</v>
      </c>
      <c r="N23" s="72">
        <f>COUNTIFS((Kõik!G8:G244),"=Valgamaa",(Kõik!E8:E244),"=Pürotehnika")</f>
        <v>0</v>
      </c>
      <c r="O23" s="72">
        <f>COUNTIFS((Kõik!G8:G244),"=Viljandimaa",(Kõik!E8:E244),"=Pürotehnika")</f>
        <v>2</v>
      </c>
      <c r="P23" s="72">
        <f>COUNTIFS((Kõik!G8:G244),"=Võrumaa",(Kõik!E8:E244),"=Pürotehnika")</f>
        <v>1</v>
      </c>
      <c r="Q23" s="64">
        <f t="shared" si="0"/>
        <v>10</v>
      </c>
      <c r="R23" s="141"/>
    </row>
    <row r="24" spans="1:18" x14ac:dyDescent="0.25">
      <c r="A24" s="70" t="s">
        <v>325</v>
      </c>
      <c r="B24" s="77">
        <f>COUNTIFS((Kõik!G8:G244),"=Harjumaa",(Kõik!E8:E244),"=Tankla")</f>
        <v>19</v>
      </c>
      <c r="C24" s="72">
        <f>COUNTIFS((Kõik!G8:G244),"=Hiiumaa",(Kõik!E8:E244),"=Tankla")</f>
        <v>0</v>
      </c>
      <c r="D24" s="72">
        <f>COUNTIFS((Kõik!G8:G244),"=Ida-Virumaa",(Kõik!E8:E244),"=Tankla")</f>
        <v>3</v>
      </c>
      <c r="E24" s="72">
        <f>COUNTIFS((Kõik!G8:G244),"=Jõgevamaa",(Kõik!E8:E244),"=Tankla")</f>
        <v>2</v>
      </c>
      <c r="F24" s="72">
        <f>COUNTIFS((Kõik!G8:G244),"=Järvamaa",(Kõik!E8:E244),"=Tankla")</f>
        <v>2</v>
      </c>
      <c r="G24" s="72">
        <f>COUNTIFS((Kõik!G8:G244),"=Läänemaa",(Kõik!E8:E244),"=Tankla")</f>
        <v>1</v>
      </c>
      <c r="H24" s="72">
        <f>COUNTIFS((Kõik!G8:G244),"=Lääne-Virumaa",(Kõik!E8:E244),"=Tankla")</f>
        <v>1</v>
      </c>
      <c r="I24" s="72">
        <f>COUNTIFS((Kõik!G8:G244),"=Põlvamaa",(Kõik!E8:E244),"=Tankla")</f>
        <v>2</v>
      </c>
      <c r="J24" s="72">
        <f>COUNTIFS((Kõik!G8:G244),"=Pärnumaa",(Kõik!E8:E244),"=Tankla")</f>
        <v>4</v>
      </c>
      <c r="K24" s="72">
        <f>COUNTIFS((Kõik!G8:G244),"=Raplamaa",(Kõik!E8:E244),"=Tankla")</f>
        <v>0</v>
      </c>
      <c r="L24" s="72">
        <f>COUNTIFS((Kõik!G8:G244),"=Saaremaa",(Kõik!E8:E244),"=Tankla")</f>
        <v>2</v>
      </c>
      <c r="M24" s="72">
        <f>COUNTIFS((Kõik!G8:G244),"=Tartumaa",(Kõik!E8:E244),"=Tankla")</f>
        <v>9</v>
      </c>
      <c r="N24" s="72">
        <f>COUNTIFS((Kõik!G8:G244),"=Valgamaa",(Kõik!E8:E244),"=Tankla")</f>
        <v>1</v>
      </c>
      <c r="O24" s="72">
        <f>COUNTIFS((Kõik!G8:G244),"=Viljandimaa",(Kõik!E8:E244),"=Tankla")</f>
        <v>2</v>
      </c>
      <c r="P24" s="72">
        <f>COUNTIFS((Kõik!G8:G244),"=Võrumaa",(Kõik!E8:E244),"=Tankla")</f>
        <v>1</v>
      </c>
      <c r="Q24" s="64">
        <f t="shared" si="0"/>
        <v>49</v>
      </c>
      <c r="R24" s="141"/>
    </row>
    <row r="25" spans="1:18" x14ac:dyDescent="0.25">
      <c r="A25" s="70" t="s">
        <v>182</v>
      </c>
      <c r="B25" s="77">
        <f>COUNTIFS((Kõik!G8:G244),"=Harjumaa",(Kõik!E8:E244),"=Terminal")</f>
        <v>17</v>
      </c>
      <c r="C25" s="72">
        <f>COUNTIFS((Kõik!G8:G244),"=Hiiumaa",(Kõik!E8:E244),"=Terminal")</f>
        <v>0</v>
      </c>
      <c r="D25" s="72">
        <f>COUNTIFS((Kõik!G8:G244),"=Ida-Virumaa",(Kõik!E8:E244),"=Terminal")</f>
        <v>3</v>
      </c>
      <c r="E25" s="72">
        <f>COUNTIFS((Kõik!G8:G244),"=Jõgevamaa",(Kõik!E8:E244),"=Terminal")</f>
        <v>0</v>
      </c>
      <c r="F25" s="72">
        <f>COUNTIFS((Kõik!G8:G244),"=Järvamaa",(Kõik!E8:E244),"=Terminal")</f>
        <v>0</v>
      </c>
      <c r="G25" s="72">
        <f>COUNTIFS((Kõik!G8:G244),"=Läänemaa",(Kõik!E8:E244),"=Terminal")</f>
        <v>0</v>
      </c>
      <c r="H25" s="72">
        <f>COUNTIFS((Kõik!G8:G244),"=Lääne-Virumaa",(Kõik!E8:E244),"=Terminal")</f>
        <v>4</v>
      </c>
      <c r="I25" s="72">
        <f>COUNTIFS((Kõik!G8:G244),"=Põlvamaa",(Kõik!E8:E244),"=Terminal")</f>
        <v>0</v>
      </c>
      <c r="J25" s="72">
        <f>COUNTIFS((Kõik!G8:G244),"=Pärnumaa",(Kõik!E8:E244),"=Terminal")</f>
        <v>0</v>
      </c>
      <c r="K25" s="72">
        <f>COUNTIFS((Kõik!G8:G244),"=Raplamaa",(Kõik!E8:E244),"=Terminal")</f>
        <v>0</v>
      </c>
      <c r="L25" s="72">
        <f>COUNTIFS((Kõik!G8:G244),"=Saaremaa",(Kõik!E8:E244),"=Terminal")</f>
        <v>0</v>
      </c>
      <c r="M25" s="72">
        <f>COUNTIFS((Kõik!G8:G244),"=Tartumaa",(Kõik!E8:E244),"=Terminal")</f>
        <v>1</v>
      </c>
      <c r="N25" s="72">
        <f>COUNTIFS((Kõik!G8:G244),"=Valgamaa",(Kõik!E8:E244),"=Terminal")</f>
        <v>0</v>
      </c>
      <c r="O25" s="72">
        <f>COUNTIFS((Kõik!G8:G244),"=Viljandimaa",(Kõik!E8:E244),"=Terminal")</f>
        <v>1</v>
      </c>
      <c r="P25" s="72">
        <f>COUNTIFS((Kõik!G8:G244),"=Võrumaa",(Kõik!E8:E244),"=Terminal")</f>
        <v>0</v>
      </c>
      <c r="Q25" s="64">
        <f t="shared" si="0"/>
        <v>26</v>
      </c>
      <c r="R25" s="141"/>
    </row>
    <row r="26" spans="1:18" x14ac:dyDescent="0.25">
      <c r="A26" s="70" t="s">
        <v>185</v>
      </c>
      <c r="B26" s="77">
        <f>COUNTIFS((Kõik!G8:G244),"=Harjumaa",(Kõik!E8:E244),"=Vahud")</f>
        <v>1</v>
      </c>
      <c r="C26" s="72">
        <f>COUNTIFS((Kõik!G8:G244),"=Hiiumaa",(Kõik!E8:E244),"=Vahud")</f>
        <v>0</v>
      </c>
      <c r="D26" s="72">
        <f>COUNTIFS((Kõik!G8:G244),"=Ida-Virumaa",(Kõik!E8:E244),"=Vahud")</f>
        <v>0</v>
      </c>
      <c r="E26" s="72">
        <f>COUNTIFS((Kõik!G8:G244),"=Jõgevamaa",(Kõik!E8:E244),"=Vahud")</f>
        <v>0</v>
      </c>
      <c r="F26" s="72">
        <f>COUNTIFS((Kõik!G8:G244),"=Järvamaa",(Kõik!E8:E244),"=Vahud")</f>
        <v>0</v>
      </c>
      <c r="G26" s="72">
        <f>COUNTIFS((Kõik!G8:G244),"=Läänemaa",(Kõik!E8:E244),"=Vahud")</f>
        <v>0</v>
      </c>
      <c r="H26" s="72">
        <f>COUNTIFS((Kõik!G8:G244),"=Lääne-Virumaa",(Kõik!E8:E244),"=Vahud")</f>
        <v>0</v>
      </c>
      <c r="I26" s="72">
        <f>COUNTIFS((Kõik!G8:G244),"=Põlvamaa",(Kõik!E8:E244),"=Vahud")</f>
        <v>0</v>
      </c>
      <c r="J26" s="72">
        <f>COUNTIFS((Kõik!G8:G244),"=Pärnumaa",(Kõik!E8:E244),"=Vahud")</f>
        <v>1</v>
      </c>
      <c r="K26" s="72">
        <f>COUNTIFS((Kõik!G8:G244),"=Raplamaa",(Kõik!E8:E244),"=Vahud")</f>
        <v>0</v>
      </c>
      <c r="L26" s="72">
        <f>COUNTIFS((Kõik!G8:G244),"=Saaremaa",(Kõik!E8:E244),"=Vahud")</f>
        <v>0</v>
      </c>
      <c r="M26" s="72">
        <f>COUNTIFS((Kõik!G8:G244),"=Tartumaa",(Kõik!E8:E244),"=Vahud")</f>
        <v>0</v>
      </c>
      <c r="N26" s="72">
        <f>COUNTIFS((Kõik!G8:G244),"=Valgamaa",(Kõik!E8:E244),"=Vahud")</f>
        <v>0</v>
      </c>
      <c r="O26" s="72">
        <f>COUNTIFS((Kõik!G8:G244),"=Viljandimaa",(Kõik!E8:E244),"=Vahud")</f>
        <v>0</v>
      </c>
      <c r="P26" s="72">
        <f>COUNTIFS((Kõik!G8:G244),"=Võrumaa",(Kõik!E8:E244),"=Vahud")</f>
        <v>0</v>
      </c>
      <c r="Q26" s="64">
        <f t="shared" si="0"/>
        <v>2</v>
      </c>
      <c r="R26" s="141"/>
    </row>
    <row r="27" spans="1:18" x14ac:dyDescent="0.25">
      <c r="A27" s="70" t="s">
        <v>694</v>
      </c>
      <c r="B27" s="77">
        <f>COUNTIFS((Kõik!G8:G246),"=Harjumaa",(Kõik!E8:E246),"=Vaigud")</f>
        <v>0</v>
      </c>
      <c r="C27" s="72">
        <f>COUNTIFS((Kõik!G8:G246),"=Hiiumaa",(Kõik!E8:E246),"=Vaigud")</f>
        <v>0</v>
      </c>
      <c r="D27" s="72">
        <f>COUNTIFS((Kõik!G8:G246),"=Ida-Virumaa",(Kõik!E8:E246),"=Vaigud")</f>
        <v>1</v>
      </c>
      <c r="E27" s="72">
        <f>COUNTIFS((Kõik!G8:G246),"=Jõgevamaa",(Kõik!E8:E246),"=Vaigud")</f>
        <v>0</v>
      </c>
      <c r="F27" s="72">
        <f>COUNTIFS((Kõik!G8:G246),"=Järvamaa",(Kõik!E8:E246),"=Vaigud")</f>
        <v>0</v>
      </c>
      <c r="G27" s="72">
        <f>COUNTIFS((Kõik!G8:G246),"=Läänemaa",(Kõik!E8:E246),"=Vaigud")</f>
        <v>0</v>
      </c>
      <c r="H27" s="72">
        <f>COUNTIFS((Kõik!G8:G246),"=Lääne-Virumaa",(Kõik!E8:E246),"=Vaigud")</f>
        <v>0</v>
      </c>
      <c r="I27" s="72">
        <f>COUNTIFS((Kõik!G8:G246),"=Põlvamaa",(Kõik!E8:E246),"=Vaigud")</f>
        <v>0</v>
      </c>
      <c r="J27" s="72">
        <f>COUNTIFS((Kõik!G8:G246),"=Pärnumaa",(Kõik!E8:E246),"=Vaigud")</f>
        <v>0</v>
      </c>
      <c r="K27" s="72">
        <f>COUNTIFS((Kõik!G8:G246),"=Raplamaa",(Kõik!E8:E246),"=Vaigud")</f>
        <v>0</v>
      </c>
      <c r="L27" s="72">
        <f>COUNTIFS((Kõik!G8:G246),"=Saaremaa",(Kõik!E8:E246),"=Vaigud")</f>
        <v>0</v>
      </c>
      <c r="M27" s="72">
        <f>COUNTIFS((Kõik!G8:G246),"=Tartumaa",(Kõik!E8:E246),"=Vaigud")</f>
        <v>0</v>
      </c>
      <c r="N27" s="72">
        <f>COUNTIFS((Kõik!G8:G246),"=Valgamaa",(Kõik!E8:E246),"=Vaigud")</f>
        <v>0</v>
      </c>
      <c r="O27" s="72">
        <f>COUNTIFS((Kõik!G8:G246),"=Viljandimaa",(Kõik!E8:E246),"=Vaigud")</f>
        <v>0</v>
      </c>
      <c r="P27" s="72">
        <f>COUNTIFS((Kõik!G8:G246),"=Võrumaa",(Kõik!E8:E246),"=Vaigud")</f>
        <v>0</v>
      </c>
      <c r="Q27" s="64">
        <f t="shared" ref="Q27:Q28" si="4">SUM(B27:P27)</f>
        <v>1</v>
      </c>
      <c r="R27" s="141"/>
    </row>
    <row r="28" spans="1:18" x14ac:dyDescent="0.25">
      <c r="A28" s="70" t="s">
        <v>537</v>
      </c>
      <c r="B28" s="77">
        <f>COUNTIFS((Kõik!G14:G247),"=Harjumaa",(Kõik!E14:E247),"=Vesinikperoksiid")</f>
        <v>0</v>
      </c>
      <c r="C28" s="72">
        <f>COUNTIFS((Kõik!G14:G247),"=Hiiumaa",(Kõik!E14:E247),"=Vesinikperoksiid")</f>
        <v>0</v>
      </c>
      <c r="D28" s="72">
        <f>COUNTIFS((Kõik!G14:G247),"=Ida-Virumaa",(Kõik!E14:E247),"=Vesinikperoksiid")</f>
        <v>0</v>
      </c>
      <c r="E28" s="72">
        <f>COUNTIFS((Kõik!G14:G247),"=Jõgevamaa",(Kõik!E14:E247),"=Vesinikperoksiid")</f>
        <v>0</v>
      </c>
      <c r="F28" s="72">
        <f>COUNTIFS((Kõik!G14:G247),"=Järvamaa",(Kõik!E14:E247),"=Vesinikperoksiid")</f>
        <v>0</v>
      </c>
      <c r="G28" s="72">
        <f>COUNTIFS((Kõik!G14:G247),"=Läänemaa",(Kõik!E14:E247),"=Vesinikperoksiid")</f>
        <v>0</v>
      </c>
      <c r="H28" s="72">
        <f>COUNTIFS((Kõik!G14:G247),"=Lääne-Virumaa",(Kõik!E14:E247),"=Vesinikperoksiid")</f>
        <v>1</v>
      </c>
      <c r="I28" s="72">
        <f>COUNTIFS((Kõik!G14:G247),"=Põlvamaa",(Kõik!E14:E247),"=Vesinikperoksiid")</f>
        <v>0</v>
      </c>
      <c r="J28" s="72">
        <f>COUNTIFS((Kõik!G14:G247),"=Pärnumaa",(Kõik!E14:E247),"=Vesinikperoksiid")</f>
        <v>0</v>
      </c>
      <c r="K28" s="72">
        <f>COUNTIFS((Kõik!G14:G247),"=Raplamaa",(Kõik!E14:E247),"=Vesinikperoksiid")</f>
        <v>0</v>
      </c>
      <c r="L28" s="72">
        <f>COUNTIFS((Kõik!G14:G247),"=Saaremaa",(Kõik!E14:E247),"=Vesinikperoksiid")</f>
        <v>0</v>
      </c>
      <c r="M28" s="72">
        <f>COUNTIFS((Kõik!G14:G247),"=Tartumaa",(Kõik!E14:E247),"=Vesinikperoksiid")</f>
        <v>0</v>
      </c>
      <c r="N28" s="72">
        <f>COUNTIFS((Kõik!G14:G247),"=Valgamaa",(Kõik!E14:E247),"=Vesinikperoksiid")</f>
        <v>0</v>
      </c>
      <c r="O28" s="72">
        <f>COUNTIFS((Kõik!G14:G247),"=Viljandimaa",(Kõik!E14:E247),"=Vesinikperoksiid")</f>
        <v>0</v>
      </c>
      <c r="P28" s="72">
        <f>COUNTIFS((Kõik!G14:G247),"=Võrumaa",(Kõik!E14:E247),"=Vesinikperoksiid")</f>
        <v>0</v>
      </c>
      <c r="Q28" s="64">
        <f t="shared" si="4"/>
        <v>1</v>
      </c>
      <c r="R28" s="141"/>
    </row>
    <row r="29" spans="1:18" x14ac:dyDescent="0.25">
      <c r="A29" s="70" t="s">
        <v>183</v>
      </c>
      <c r="B29" s="77">
        <f>COUNTIFS((Kõik!G8:G244),"=Harjumaa",(Kõik!E8:E244),"=Väetised")</f>
        <v>6</v>
      </c>
      <c r="C29" s="72">
        <f>COUNTIFS((Kõik!G8:G244),"=Hiiumaa",(Kõik!E8:E244),"=Väetised")</f>
        <v>0</v>
      </c>
      <c r="D29" s="72">
        <f>COUNTIFS((Kõik!G8:G244),"=Ida-Virumaa",(Kõik!E8:E244),"=Väetised")</f>
        <v>1</v>
      </c>
      <c r="E29" s="72">
        <f>COUNTIFS((Kõik!G8:G244),"=Jõgevamaa",(Kõik!E8:E244),"=Väetised")</f>
        <v>1</v>
      </c>
      <c r="F29" s="72">
        <f>COUNTIFS((Kõik!G8:G244),"=Järvamaa",(Kõik!E8:E244),"=Väetised")</f>
        <v>0</v>
      </c>
      <c r="G29" s="72">
        <f>COUNTIFS((Kõik!G8:G244),"=Läänemaa",(Kõik!E8:E244),"=Väetised")</f>
        <v>0</v>
      </c>
      <c r="H29" s="72">
        <f>COUNTIFS((Kõik!G8:G244),"=Lääne-Virumaa",(Kõik!E8:E244),"=Väetised")</f>
        <v>0</v>
      </c>
      <c r="I29" s="72">
        <f>COUNTIFS((Kõik!G8:G244),"=Põlvamaa",(Kõik!E8:E244),"=Väetised")</f>
        <v>0</v>
      </c>
      <c r="J29" s="72">
        <f>COUNTIFS((Kõik!G8:G244),"=Pärnumaa",(Kõik!E8:E244),"=Väetised")</f>
        <v>0</v>
      </c>
      <c r="K29" s="72">
        <f>COUNTIFS((Kõik!G8:G244),"=Raplamaa",(Kõik!E8:E244),"=Väetised")</f>
        <v>0</v>
      </c>
      <c r="L29" s="72">
        <f>COUNTIFS((Kõik!G8:G244),"=Saaremaa",(Kõik!E8:E244),"=Väetised")</f>
        <v>0</v>
      </c>
      <c r="M29" s="72">
        <f>COUNTIFS((Kõik!G8:G244),"=Tartumaa",(Kõik!E8:E244),"=Väetised")</f>
        <v>0</v>
      </c>
      <c r="N29" s="72">
        <f>COUNTIFS((Kõik!G8:G244),"=Valgamaa",(Kõik!E8:E244),"=Väetised")</f>
        <v>0</v>
      </c>
      <c r="O29" s="72">
        <f>COUNTIFS((Kõik!G8:G244),"=Viljandimaa",(Kõik!E8:E244),"=Väetised")</f>
        <v>0</v>
      </c>
      <c r="P29" s="72">
        <f>COUNTIFS((Kõik!G8:G244),"=Võrumaa",(Kõik!E8:E244),"=Väetised")</f>
        <v>0</v>
      </c>
      <c r="Q29" s="64">
        <f t="shared" si="0"/>
        <v>8</v>
      </c>
    </row>
    <row r="30" spans="1:18" ht="15.75" thickBot="1" x14ac:dyDescent="0.3">
      <c r="A30" s="71" t="s">
        <v>282</v>
      </c>
      <c r="B30" s="78">
        <f>COUNTIFS((Kõik!G8:G244),"=Harjumaa",(Kõik!E8:E244),"=Värvid")</f>
        <v>2</v>
      </c>
      <c r="C30" s="79">
        <f>COUNTIFS((Kõik!G8:G244),"=Hiiumaa",(Kõik!E8:E244),"=Värvid")</f>
        <v>0</v>
      </c>
      <c r="D30" s="79">
        <f>COUNTIFS((Kõik!G8:G244),"=Ida-Virumaa",(Kõik!E8:E244),"=Värvid")</f>
        <v>0</v>
      </c>
      <c r="E30" s="79">
        <f>COUNTIFS((Kõik!G8:G244),"=Jõgevamaa",(Kõik!E8:E244),"=Värvid")</f>
        <v>0</v>
      </c>
      <c r="F30" s="79">
        <f>COUNTIFS((Kõik!G8:G244),"=Järvamaa",(Kõik!E8:E244),"=Värvid")</f>
        <v>0</v>
      </c>
      <c r="G30" s="79">
        <f>COUNTIFS((Kõik!G8:G244),"=Läänemaa",(Kõik!E8:E244),"=Värvid")</f>
        <v>0</v>
      </c>
      <c r="H30" s="79">
        <f>COUNTIFS((Kõik!G8:G244),"=Lääne-Virumaa",(Kõik!E8:E244),"=Värvid")</f>
        <v>0</v>
      </c>
      <c r="I30" s="79">
        <f>COUNTIFS((Kõik!G8:G244),"=Põlvamaa",(Kõik!E8:E244),"=Värvid")</f>
        <v>0</v>
      </c>
      <c r="J30" s="79">
        <f>COUNTIFS((Kõik!G8:G244),"=Pärnumaa",(Kõik!E8:E244),"=Värvid")</f>
        <v>0</v>
      </c>
      <c r="K30" s="79">
        <f>COUNTIFS((Kõik!G8:G244),"=Raplamaa",(Kõik!E8:E244),"=Värvid")</f>
        <v>1</v>
      </c>
      <c r="L30" s="79">
        <f>COUNTIFS((Kõik!G8:G244),"=Saaremaa",(Kõik!E8:E244),"=Värvid")</f>
        <v>0</v>
      </c>
      <c r="M30" s="79">
        <f>COUNTIFS((Kõik!G8:G244),"=Tartumaa",(Kõik!E8:E244),"=Värvid")</f>
        <v>0</v>
      </c>
      <c r="N30" s="79">
        <f>COUNTIFS((Kõik!G8:G244),"=Valgamaa",(Kõik!E8:E244),"=Värvid")</f>
        <v>0</v>
      </c>
      <c r="O30" s="79">
        <f>COUNTIFS((Kõik!G8:G244),"=Viljandimaa",(Kõik!E8:E244),"=Värvid")</f>
        <v>0</v>
      </c>
      <c r="P30" s="79">
        <f>COUNTIFS((Kõik!G8:G244),"=Võrumaa",(Kõik!E8:E244),"=Värvid")</f>
        <v>0</v>
      </c>
      <c r="Q30" s="65">
        <f t="shared" si="0"/>
        <v>3</v>
      </c>
    </row>
    <row r="31" spans="1:18" ht="15.75" thickBot="1" x14ac:dyDescent="0.3">
      <c r="A31" s="73" t="s">
        <v>399</v>
      </c>
      <c r="B31" s="66">
        <f>SUM(B2:B30)</f>
        <v>96</v>
      </c>
      <c r="C31" s="67">
        <f t="shared" ref="C31:P31" si="5">SUM(C2:C30)</f>
        <v>0</v>
      </c>
      <c r="D31" s="67">
        <f t="shared" si="5"/>
        <v>29</v>
      </c>
      <c r="E31" s="67">
        <f t="shared" si="5"/>
        <v>4</v>
      </c>
      <c r="F31" s="67">
        <f t="shared" si="5"/>
        <v>7</v>
      </c>
      <c r="G31" s="67">
        <f t="shared" si="5"/>
        <v>3</v>
      </c>
      <c r="H31" s="67">
        <f t="shared" si="5"/>
        <v>19</v>
      </c>
      <c r="I31" s="67">
        <f t="shared" si="5"/>
        <v>3</v>
      </c>
      <c r="J31" s="67">
        <f t="shared" si="5"/>
        <v>9</v>
      </c>
      <c r="K31" s="67">
        <f t="shared" si="5"/>
        <v>7</v>
      </c>
      <c r="L31" s="67">
        <f t="shared" si="5"/>
        <v>7</v>
      </c>
      <c r="M31" s="67">
        <f t="shared" si="5"/>
        <v>29</v>
      </c>
      <c r="N31" s="67">
        <f t="shared" si="5"/>
        <v>4</v>
      </c>
      <c r="O31" s="67">
        <f t="shared" si="5"/>
        <v>9</v>
      </c>
      <c r="P31" s="68">
        <f t="shared" si="5"/>
        <v>6</v>
      </c>
      <c r="Q31" s="62">
        <f t="shared" si="0"/>
        <v>232</v>
      </c>
    </row>
  </sheetData>
  <sheetProtection password="C4C8" sheet="1" objects="1" scenarios="1" selectLockedCells="1" selectUnlockedCells="1"/>
  <conditionalFormatting sqref="B31:P31">
    <cfRule type="colorScale" priority="2">
      <colorScale>
        <cfvo type="min"/>
        <cfvo type="max"/>
        <color theme="0"/>
        <color rgb="FF92D050"/>
      </colorScale>
    </cfRule>
  </conditionalFormatting>
  <conditionalFormatting sqref="B2:G30">
    <cfRule type="colorScale" priority="10">
      <colorScale>
        <cfvo type="min"/>
        <cfvo type="percentile" val="50"/>
        <cfvo type="max"/>
        <color theme="0"/>
        <color rgb="FFFFEB84"/>
        <color rgb="FF63BE7B"/>
      </colorScale>
    </cfRule>
  </conditionalFormatting>
  <conditionalFormatting sqref="B2:P30">
    <cfRule type="colorScale" priority="12">
      <colorScale>
        <cfvo type="min"/>
        <cfvo type="percentile" val="50"/>
        <cfvo type="max"/>
        <color theme="0"/>
        <color rgb="FFFFEB84"/>
        <color rgb="FF63BE7B"/>
      </colorScale>
    </cfRule>
  </conditionalFormatting>
  <conditionalFormatting sqref="Q2:Q30">
    <cfRule type="colorScale" priority="14">
      <colorScale>
        <cfvo type="min"/>
        <cfvo type="max"/>
        <color theme="0"/>
        <color rgb="FF92D050"/>
      </colorScale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K16"/>
  <sheetViews>
    <sheetView workbookViewId="0">
      <selection activeCell="A17" sqref="A17"/>
    </sheetView>
  </sheetViews>
  <sheetFormatPr defaultRowHeight="12.75" x14ac:dyDescent="0.2"/>
  <cols>
    <col min="1" max="1" width="11.28515625" style="183" bestFit="1" customWidth="1"/>
    <col min="2" max="2" width="44.140625" style="178" bestFit="1" customWidth="1"/>
    <col min="3" max="3" width="58.7109375" style="178" bestFit="1" customWidth="1"/>
    <col min="4" max="4" width="4.7109375" style="178" bestFit="1" customWidth="1"/>
    <col min="5" max="5" width="5.7109375" style="178" bestFit="1" customWidth="1"/>
    <col min="6" max="6" width="10.28515625" style="178" bestFit="1" customWidth="1"/>
    <col min="7" max="7" width="56.7109375" style="178" bestFit="1" customWidth="1"/>
    <col min="8" max="8" width="10.85546875" style="178" bestFit="1" customWidth="1"/>
    <col min="9" max="9" width="11" style="178" bestFit="1" customWidth="1"/>
    <col min="10" max="10" width="7" style="178" bestFit="1" customWidth="1"/>
    <col min="11" max="11" width="12.85546875" style="178" bestFit="1" customWidth="1"/>
    <col min="12" max="12" width="14.140625" style="178" bestFit="1" customWidth="1"/>
    <col min="13" max="13" width="4.42578125" style="178" bestFit="1" customWidth="1"/>
    <col min="14" max="14" width="8" style="178" bestFit="1" customWidth="1"/>
    <col min="15" max="15" width="7.5703125" style="178" bestFit="1" customWidth="1"/>
    <col min="16" max="16" width="11.28515625" style="178" bestFit="1" customWidth="1"/>
    <col min="17" max="17" width="7.5703125" style="178" bestFit="1" customWidth="1"/>
    <col min="18" max="18" width="11.28515625" style="178" bestFit="1" customWidth="1"/>
    <col min="19" max="19" width="9.28515625" style="178" bestFit="1" customWidth="1"/>
    <col min="20" max="20" width="11.28515625" style="178" bestFit="1" customWidth="1"/>
    <col min="21" max="21" width="8" style="178" bestFit="1" customWidth="1"/>
    <col min="22" max="22" width="11.28515625" style="178" bestFit="1" customWidth="1"/>
    <col min="23" max="23" width="7.5703125" style="178" bestFit="1" customWidth="1"/>
    <col min="24" max="24" width="11.28515625" style="178" bestFit="1" customWidth="1"/>
    <col min="25" max="25" width="7" style="178" bestFit="1" customWidth="1"/>
    <col min="26" max="26" width="16" style="178" bestFit="1" customWidth="1"/>
    <col min="27" max="27" width="11.28515625" style="178" bestFit="1" customWidth="1"/>
    <col min="28" max="28" width="22.42578125" style="178" bestFit="1" customWidth="1"/>
    <col min="29" max="29" width="11.28515625" style="178" bestFit="1" customWidth="1"/>
    <col min="30" max="30" width="10.140625" style="178" bestFit="1" customWidth="1"/>
    <col min="31" max="31" width="7.28515625" style="178" bestFit="1" customWidth="1"/>
    <col min="32" max="33" width="5" style="178" bestFit="1" customWidth="1"/>
    <col min="34" max="34" width="7.28515625" style="178" bestFit="1" customWidth="1"/>
    <col min="35" max="35" width="5" style="178" bestFit="1" customWidth="1"/>
    <col min="36" max="16384" width="9.140625" style="178"/>
  </cols>
  <sheetData>
    <row r="1" spans="1:37" x14ac:dyDescent="0.2">
      <c r="A1" s="177" t="s">
        <v>1117</v>
      </c>
      <c r="B1" s="184" t="s">
        <v>50</v>
      </c>
      <c r="C1" s="184" t="s">
        <v>557</v>
      </c>
      <c r="D1" s="185" t="s">
        <v>115</v>
      </c>
      <c r="E1" s="184" t="s">
        <v>976</v>
      </c>
      <c r="F1" s="184" t="s">
        <v>181</v>
      </c>
      <c r="G1" s="184" t="s">
        <v>950</v>
      </c>
      <c r="H1" s="185" t="s">
        <v>51</v>
      </c>
      <c r="I1" s="185" t="s">
        <v>52</v>
      </c>
      <c r="J1" s="185" t="s">
        <v>53</v>
      </c>
      <c r="K1" s="185" t="s">
        <v>54</v>
      </c>
      <c r="L1" s="185" t="s">
        <v>55</v>
      </c>
      <c r="M1" s="185" t="s">
        <v>490</v>
      </c>
      <c r="N1" s="185" t="s">
        <v>992</v>
      </c>
      <c r="O1" s="185" t="s">
        <v>117</v>
      </c>
      <c r="P1" s="185" t="s">
        <v>116</v>
      </c>
      <c r="Q1" s="185" t="s">
        <v>118</v>
      </c>
      <c r="R1" s="185" t="s">
        <v>119</v>
      </c>
      <c r="S1" s="185" t="s">
        <v>120</v>
      </c>
      <c r="T1" s="185" t="s">
        <v>121</v>
      </c>
      <c r="U1" s="185" t="s">
        <v>122</v>
      </c>
      <c r="V1" s="185" t="s">
        <v>123</v>
      </c>
      <c r="W1" s="185" t="s">
        <v>124</v>
      </c>
      <c r="X1" s="185" t="s">
        <v>125</v>
      </c>
      <c r="Y1" s="185" t="s">
        <v>59</v>
      </c>
      <c r="Z1" s="185" t="s">
        <v>986</v>
      </c>
      <c r="AA1" s="185" t="s">
        <v>60</v>
      </c>
      <c r="AB1" s="184" t="s">
        <v>474</v>
      </c>
      <c r="AC1" s="186" t="s">
        <v>616</v>
      </c>
      <c r="AD1" s="187">
        <v>2015</v>
      </c>
      <c r="AE1" s="187" t="s">
        <v>993</v>
      </c>
      <c r="AF1" s="187" t="s">
        <v>994</v>
      </c>
      <c r="AG1" s="187" t="s">
        <v>995</v>
      </c>
      <c r="AH1" s="187" t="s">
        <v>996</v>
      </c>
      <c r="AI1" s="187" t="s">
        <v>997</v>
      </c>
    </row>
    <row r="2" spans="1:37" x14ac:dyDescent="0.2">
      <c r="A2" s="179">
        <v>42429</v>
      </c>
      <c r="B2" s="188" t="s">
        <v>1135</v>
      </c>
      <c r="C2" s="188" t="s">
        <v>1136</v>
      </c>
      <c r="D2" s="189" t="s">
        <v>113</v>
      </c>
      <c r="E2" s="189" t="s">
        <v>977</v>
      </c>
      <c r="F2" s="189" t="s">
        <v>184</v>
      </c>
      <c r="G2" s="189" t="s">
        <v>959</v>
      </c>
      <c r="H2" s="190" t="s">
        <v>61</v>
      </c>
      <c r="I2" s="191" t="s">
        <v>235</v>
      </c>
      <c r="J2" s="191"/>
      <c r="K2" s="191"/>
      <c r="L2" s="191" t="s">
        <v>1137</v>
      </c>
      <c r="M2" s="192">
        <v>50</v>
      </c>
      <c r="N2" s="192"/>
      <c r="O2" s="193" t="s">
        <v>1138</v>
      </c>
      <c r="P2" s="194">
        <v>41681</v>
      </c>
      <c r="Q2" s="193" t="s">
        <v>1138</v>
      </c>
      <c r="R2" s="194">
        <v>41942</v>
      </c>
      <c r="S2" s="195"/>
      <c r="T2" s="195"/>
      <c r="U2" s="196"/>
      <c r="V2" s="196"/>
      <c r="W2" s="196"/>
      <c r="X2" s="196"/>
      <c r="Y2" s="197" t="s">
        <v>987</v>
      </c>
      <c r="Z2" s="198" t="s">
        <v>1139</v>
      </c>
      <c r="AA2" s="199">
        <v>40487</v>
      </c>
      <c r="AB2" s="200" t="s">
        <v>1140</v>
      </c>
      <c r="AC2" s="196"/>
      <c r="AD2" s="201"/>
      <c r="AE2" s="201" t="s">
        <v>998</v>
      </c>
      <c r="AF2" s="201" t="s">
        <v>1061</v>
      </c>
      <c r="AG2" s="201"/>
      <c r="AH2" s="201"/>
      <c r="AI2" s="201"/>
    </row>
    <row r="3" spans="1:37" x14ac:dyDescent="0.2">
      <c r="A3" s="179">
        <v>42432</v>
      </c>
      <c r="B3" s="202" t="s">
        <v>1141</v>
      </c>
      <c r="C3" s="202" t="s">
        <v>1070</v>
      </c>
      <c r="D3" s="203" t="s">
        <v>113</v>
      </c>
      <c r="E3" s="204"/>
      <c r="F3" s="204" t="s">
        <v>250</v>
      </c>
      <c r="G3" s="204" t="s">
        <v>959</v>
      </c>
      <c r="H3" s="205" t="s">
        <v>292</v>
      </c>
      <c r="I3" s="206" t="s">
        <v>293</v>
      </c>
      <c r="J3" s="207"/>
      <c r="K3" s="207"/>
      <c r="L3" s="206" t="s">
        <v>1142</v>
      </c>
      <c r="M3" s="208">
        <v>45</v>
      </c>
      <c r="N3" s="208"/>
      <c r="O3" s="209" t="s">
        <v>468</v>
      </c>
      <c r="P3" s="210">
        <v>41302</v>
      </c>
      <c r="Q3" s="209" t="s">
        <v>468</v>
      </c>
      <c r="R3" s="210">
        <v>41359</v>
      </c>
      <c r="S3" s="209" t="s">
        <v>468</v>
      </c>
      <c r="T3" s="210">
        <v>41394</v>
      </c>
      <c r="U3" s="211"/>
      <c r="V3" s="211"/>
      <c r="W3" s="211"/>
      <c r="X3" s="211"/>
      <c r="Y3" s="212" t="s">
        <v>989</v>
      </c>
      <c r="Z3" s="212" t="s">
        <v>1143</v>
      </c>
      <c r="AA3" s="213">
        <v>41397</v>
      </c>
      <c r="AB3" s="214" t="s">
        <v>1045</v>
      </c>
      <c r="AC3" s="182"/>
      <c r="AD3" s="201"/>
      <c r="AE3" s="201" t="s">
        <v>1061</v>
      </c>
      <c r="AF3" s="201"/>
      <c r="AG3" s="201"/>
      <c r="AH3" s="201"/>
      <c r="AI3" s="201"/>
    </row>
    <row r="4" spans="1:37" x14ac:dyDescent="0.2">
      <c r="A4" s="179">
        <v>42432</v>
      </c>
      <c r="B4" s="202" t="s">
        <v>466</v>
      </c>
      <c r="C4" s="202" t="s">
        <v>1144</v>
      </c>
      <c r="D4" s="204" t="s">
        <v>112</v>
      </c>
      <c r="E4" s="204"/>
      <c r="F4" s="204" t="s">
        <v>250</v>
      </c>
      <c r="G4" s="204" t="s">
        <v>959</v>
      </c>
      <c r="H4" s="205" t="s">
        <v>292</v>
      </c>
      <c r="I4" s="206" t="s">
        <v>293</v>
      </c>
      <c r="J4" s="207"/>
      <c r="K4" s="207"/>
      <c r="L4" s="206" t="s">
        <v>467</v>
      </c>
      <c r="M4" s="208">
        <v>47</v>
      </c>
      <c r="N4" s="208"/>
      <c r="O4" s="209" t="s">
        <v>468</v>
      </c>
      <c r="P4" s="210">
        <v>41302</v>
      </c>
      <c r="Q4" s="209" t="s">
        <v>468</v>
      </c>
      <c r="R4" s="210">
        <v>41359</v>
      </c>
      <c r="S4" s="209" t="s">
        <v>468</v>
      </c>
      <c r="T4" s="210">
        <v>41394</v>
      </c>
      <c r="U4" s="209" t="s">
        <v>468</v>
      </c>
      <c r="V4" s="210">
        <v>41359</v>
      </c>
      <c r="W4" s="211"/>
      <c r="X4" s="211"/>
      <c r="Y4" s="212" t="s">
        <v>989</v>
      </c>
      <c r="Z4" s="212" t="s">
        <v>1145</v>
      </c>
      <c r="AA4" s="213">
        <v>41397</v>
      </c>
      <c r="AB4" s="215" t="s">
        <v>1146</v>
      </c>
      <c r="AC4" s="182"/>
      <c r="AD4" s="201" t="s">
        <v>1061</v>
      </c>
      <c r="AE4" s="201"/>
      <c r="AF4" s="201"/>
      <c r="AG4" s="201" t="s">
        <v>1061</v>
      </c>
      <c r="AH4" s="201"/>
      <c r="AI4" s="201"/>
    </row>
    <row r="5" spans="1:37" x14ac:dyDescent="0.2">
      <c r="A5" s="179">
        <v>42432</v>
      </c>
      <c r="B5" s="202" t="s">
        <v>1147</v>
      </c>
      <c r="C5" s="202" t="s">
        <v>1148</v>
      </c>
      <c r="D5" s="204" t="s">
        <v>114</v>
      </c>
      <c r="E5" s="204"/>
      <c r="F5" s="204" t="s">
        <v>250</v>
      </c>
      <c r="G5" s="204" t="s">
        <v>959</v>
      </c>
      <c r="H5" s="216" t="s">
        <v>316</v>
      </c>
      <c r="I5" s="202" t="s">
        <v>559</v>
      </c>
      <c r="J5" s="217"/>
      <c r="K5" s="217"/>
      <c r="L5" s="217" t="s">
        <v>1149</v>
      </c>
      <c r="M5" s="208">
        <v>105</v>
      </c>
      <c r="N5" s="208"/>
      <c r="O5" s="209" t="s">
        <v>468</v>
      </c>
      <c r="P5" s="210">
        <v>41808</v>
      </c>
      <c r="Q5" s="209" t="s">
        <v>468</v>
      </c>
      <c r="R5" s="210">
        <v>41900</v>
      </c>
      <c r="S5" s="209" t="s">
        <v>468</v>
      </c>
      <c r="T5" s="210">
        <v>41977</v>
      </c>
      <c r="U5" s="209" t="s">
        <v>468</v>
      </c>
      <c r="V5" s="210">
        <v>41900</v>
      </c>
      <c r="W5" s="209" t="s">
        <v>468</v>
      </c>
      <c r="X5" s="210">
        <v>41900</v>
      </c>
      <c r="Y5" s="212" t="s">
        <v>989</v>
      </c>
      <c r="Z5" s="212" t="s">
        <v>1150</v>
      </c>
      <c r="AA5" s="213">
        <v>41981</v>
      </c>
      <c r="AB5" s="214" t="s">
        <v>1151</v>
      </c>
      <c r="AC5" s="179"/>
      <c r="AD5" s="201" t="s">
        <v>1061</v>
      </c>
      <c r="AE5" s="201"/>
      <c r="AF5" s="201"/>
      <c r="AG5" s="201" t="s">
        <v>1061</v>
      </c>
      <c r="AH5" s="201"/>
      <c r="AI5" s="201"/>
    </row>
    <row r="6" spans="1:37" x14ac:dyDescent="0.2">
      <c r="A6" s="179">
        <v>42436</v>
      </c>
      <c r="B6" s="202" t="s">
        <v>434</v>
      </c>
      <c r="C6" s="202" t="s">
        <v>1119</v>
      </c>
      <c r="D6" s="204" t="s">
        <v>114</v>
      </c>
      <c r="E6" s="204"/>
      <c r="F6" s="204" t="s">
        <v>184</v>
      </c>
      <c r="G6" s="204" t="s">
        <v>959</v>
      </c>
      <c r="H6" s="205" t="s">
        <v>61</v>
      </c>
      <c r="I6" s="202" t="s">
        <v>78</v>
      </c>
      <c r="J6" s="207"/>
      <c r="K6" s="207"/>
      <c r="L6" s="217" t="s">
        <v>435</v>
      </c>
      <c r="M6" s="218"/>
      <c r="N6" s="218"/>
      <c r="O6" s="209" t="s">
        <v>1120</v>
      </c>
      <c r="P6" s="210">
        <v>41194</v>
      </c>
      <c r="Q6" s="219"/>
      <c r="R6" s="219"/>
      <c r="S6" s="219"/>
      <c r="T6" s="219"/>
      <c r="U6" s="211"/>
      <c r="V6" s="211"/>
      <c r="W6" s="219"/>
      <c r="X6" s="219"/>
      <c r="Y6" s="197" t="s">
        <v>987</v>
      </c>
      <c r="Z6" s="197" t="s">
        <v>1121</v>
      </c>
      <c r="AA6" s="220">
        <v>39813</v>
      </c>
      <c r="AB6" s="215" t="s">
        <v>1122</v>
      </c>
      <c r="AC6" s="182"/>
      <c r="AD6" s="201"/>
      <c r="AE6" s="201" t="s">
        <v>998</v>
      </c>
      <c r="AF6" s="201" t="s">
        <v>1061</v>
      </c>
      <c r="AG6" s="201"/>
      <c r="AH6" s="201"/>
      <c r="AI6" s="201" t="s">
        <v>1061</v>
      </c>
    </row>
    <row r="7" spans="1:37" x14ac:dyDescent="0.2">
      <c r="A7" s="179">
        <v>42437</v>
      </c>
      <c r="B7" s="216" t="s">
        <v>1123</v>
      </c>
      <c r="C7" s="216" t="s">
        <v>1124</v>
      </c>
      <c r="D7" s="211" t="s">
        <v>113</v>
      </c>
      <c r="E7" s="214"/>
      <c r="F7" s="214" t="s">
        <v>250</v>
      </c>
      <c r="G7" s="214" t="s">
        <v>959</v>
      </c>
      <c r="H7" s="205" t="s">
        <v>107</v>
      </c>
      <c r="I7" s="205" t="s">
        <v>270</v>
      </c>
      <c r="J7" s="205"/>
      <c r="K7" s="205"/>
      <c r="L7" s="205" t="s">
        <v>1125</v>
      </c>
      <c r="M7" s="218"/>
      <c r="N7" s="218"/>
      <c r="O7" s="209" t="s">
        <v>1126</v>
      </c>
      <c r="P7" s="210">
        <v>41050</v>
      </c>
      <c r="Q7" s="209" t="s">
        <v>1126</v>
      </c>
      <c r="R7" s="210">
        <v>41101</v>
      </c>
      <c r="S7" s="221" t="s">
        <v>1126</v>
      </c>
      <c r="T7" s="222">
        <v>41218</v>
      </c>
      <c r="U7" s="211"/>
      <c r="V7" s="211"/>
      <c r="W7" s="211"/>
      <c r="X7" s="211"/>
      <c r="Y7" s="212" t="s">
        <v>989</v>
      </c>
      <c r="Z7" s="223" t="s">
        <v>1127</v>
      </c>
      <c r="AA7" s="213">
        <v>41746</v>
      </c>
      <c r="AB7" s="214" t="s">
        <v>1128</v>
      </c>
      <c r="AC7" s="196"/>
      <c r="AD7" s="201"/>
      <c r="AE7" s="201"/>
      <c r="AF7" s="201" t="s">
        <v>1061</v>
      </c>
      <c r="AG7" s="201"/>
      <c r="AH7" s="201"/>
      <c r="AI7" s="201" t="s">
        <v>1061</v>
      </c>
    </row>
    <row r="8" spans="1:37" x14ac:dyDescent="0.2">
      <c r="A8" s="179">
        <v>42437</v>
      </c>
      <c r="B8" s="202" t="s">
        <v>1129</v>
      </c>
      <c r="C8" s="202" t="s">
        <v>1130</v>
      </c>
      <c r="D8" s="204" t="s">
        <v>113</v>
      </c>
      <c r="E8" s="204"/>
      <c r="F8" s="204" t="s">
        <v>250</v>
      </c>
      <c r="G8" s="204" t="s">
        <v>959</v>
      </c>
      <c r="H8" s="216" t="s">
        <v>56</v>
      </c>
      <c r="I8" s="202"/>
      <c r="J8" s="217" t="s">
        <v>165</v>
      </c>
      <c r="K8" s="217" t="s">
        <v>521</v>
      </c>
      <c r="L8" s="217" t="s">
        <v>1131</v>
      </c>
      <c r="M8" s="218">
        <v>58</v>
      </c>
      <c r="N8" s="218"/>
      <c r="O8" s="209" t="s">
        <v>1132</v>
      </c>
      <c r="P8" s="210">
        <v>41942</v>
      </c>
      <c r="Q8" s="209" t="s">
        <v>1132</v>
      </c>
      <c r="R8" s="210">
        <v>41992</v>
      </c>
      <c r="S8" s="209" t="s">
        <v>1132</v>
      </c>
      <c r="T8" s="210">
        <v>42010</v>
      </c>
      <c r="U8" s="214"/>
      <c r="V8" s="215"/>
      <c r="W8" s="214"/>
      <c r="X8" s="214"/>
      <c r="Y8" s="212" t="s">
        <v>989</v>
      </c>
      <c r="Z8" s="212" t="s">
        <v>1133</v>
      </c>
      <c r="AA8" s="213">
        <v>42017</v>
      </c>
      <c r="AB8" s="214" t="s">
        <v>1134</v>
      </c>
      <c r="AC8" s="179"/>
      <c r="AD8" s="201" t="s">
        <v>1061</v>
      </c>
      <c r="AE8" s="201"/>
      <c r="AF8" s="201"/>
      <c r="AG8" s="201" t="s">
        <v>1061</v>
      </c>
      <c r="AH8" s="201"/>
      <c r="AI8" s="201"/>
    </row>
    <row r="9" spans="1:37" x14ac:dyDescent="0.2">
      <c r="A9" s="180">
        <v>42507</v>
      </c>
      <c r="B9" s="202" t="s">
        <v>819</v>
      </c>
      <c r="C9" s="217" t="s">
        <v>1111</v>
      </c>
      <c r="D9" s="204" t="s">
        <v>113</v>
      </c>
      <c r="E9" s="204"/>
      <c r="F9" s="204" t="s">
        <v>188</v>
      </c>
      <c r="G9" s="204" t="s">
        <v>967</v>
      </c>
      <c r="H9" s="216" t="s">
        <v>66</v>
      </c>
      <c r="I9" s="202"/>
      <c r="J9" s="217" t="s">
        <v>67</v>
      </c>
      <c r="K9" s="217" t="s">
        <v>749</v>
      </c>
      <c r="L9" s="217" t="s">
        <v>750</v>
      </c>
      <c r="M9" s="218">
        <v>392</v>
      </c>
      <c r="N9" s="218"/>
      <c r="O9" s="209" t="s">
        <v>728</v>
      </c>
      <c r="P9" s="210">
        <v>41977</v>
      </c>
      <c r="Q9" s="209" t="s">
        <v>728</v>
      </c>
      <c r="R9" s="210">
        <v>42052</v>
      </c>
      <c r="S9" s="224" t="s">
        <v>728</v>
      </c>
      <c r="T9" s="225">
        <v>42468</v>
      </c>
      <c r="U9" s="214"/>
      <c r="V9" s="214"/>
      <c r="W9" s="214"/>
      <c r="X9" s="214"/>
      <c r="Y9" s="226" t="s">
        <v>991</v>
      </c>
      <c r="Z9" s="227" t="s">
        <v>463</v>
      </c>
      <c r="AA9" s="228">
        <v>42312</v>
      </c>
      <c r="AB9" s="215" t="s">
        <v>889</v>
      </c>
      <c r="AC9" s="196"/>
      <c r="AD9" s="201" t="s">
        <v>1061</v>
      </c>
      <c r="AE9" s="201"/>
      <c r="AF9" s="201"/>
      <c r="AG9" s="201"/>
      <c r="AH9" s="201"/>
      <c r="AI9" s="201" t="s">
        <v>1061</v>
      </c>
    </row>
    <row r="10" spans="1:37" x14ac:dyDescent="0.2">
      <c r="A10" s="180">
        <v>42507</v>
      </c>
      <c r="B10" s="217" t="s">
        <v>818</v>
      </c>
      <c r="C10" s="217" t="s">
        <v>1112</v>
      </c>
      <c r="D10" s="211" t="s">
        <v>113</v>
      </c>
      <c r="E10" s="214"/>
      <c r="F10" s="214" t="s">
        <v>188</v>
      </c>
      <c r="G10" s="214" t="s">
        <v>967</v>
      </c>
      <c r="H10" s="205" t="s">
        <v>69</v>
      </c>
      <c r="I10" s="207"/>
      <c r="J10" s="229" t="s">
        <v>754</v>
      </c>
      <c r="K10" s="207" t="s">
        <v>755</v>
      </c>
      <c r="L10" s="207" t="s">
        <v>727</v>
      </c>
      <c r="M10" s="218">
        <v>392</v>
      </c>
      <c r="N10" s="218"/>
      <c r="O10" s="209" t="s">
        <v>728</v>
      </c>
      <c r="P10" s="210">
        <v>41977</v>
      </c>
      <c r="Q10" s="209" t="s">
        <v>728</v>
      </c>
      <c r="R10" s="210">
        <v>42052</v>
      </c>
      <c r="S10" s="224" t="s">
        <v>728</v>
      </c>
      <c r="T10" s="225">
        <v>42468</v>
      </c>
      <c r="U10" s="214"/>
      <c r="V10" s="215"/>
      <c r="W10" s="214"/>
      <c r="X10" s="214"/>
      <c r="Y10" s="226" t="s">
        <v>991</v>
      </c>
      <c r="Z10" s="227" t="s">
        <v>463</v>
      </c>
      <c r="AA10" s="228">
        <v>42312</v>
      </c>
      <c r="AB10" s="215" t="s">
        <v>889</v>
      </c>
      <c r="AC10" s="179"/>
      <c r="AD10" s="201" t="s">
        <v>1061</v>
      </c>
      <c r="AE10" s="201"/>
      <c r="AF10" s="201"/>
      <c r="AG10" s="201"/>
      <c r="AH10" s="201"/>
      <c r="AI10" s="201" t="s">
        <v>1061</v>
      </c>
    </row>
    <row r="11" spans="1:37" x14ac:dyDescent="0.2">
      <c r="A11" s="180">
        <v>42552</v>
      </c>
      <c r="B11" s="202" t="s">
        <v>298</v>
      </c>
      <c r="C11" s="202"/>
      <c r="D11" s="204" t="s">
        <v>113</v>
      </c>
      <c r="E11" s="204"/>
      <c r="F11" s="204" t="s">
        <v>188</v>
      </c>
      <c r="G11" s="204" t="s">
        <v>969</v>
      </c>
      <c r="H11" s="205" t="s">
        <v>56</v>
      </c>
      <c r="I11" s="202" t="s">
        <v>126</v>
      </c>
      <c r="J11" s="207"/>
      <c r="K11" s="207"/>
      <c r="L11" s="217" t="s">
        <v>106</v>
      </c>
      <c r="M11" s="218">
        <v>200</v>
      </c>
      <c r="N11" s="218"/>
      <c r="O11" s="221" t="s">
        <v>520</v>
      </c>
      <c r="P11" s="222">
        <v>41519</v>
      </c>
      <c r="Q11" s="209" t="s">
        <v>520</v>
      </c>
      <c r="R11" s="210">
        <v>41660</v>
      </c>
      <c r="S11" s="209" t="s">
        <v>520</v>
      </c>
      <c r="T11" s="210">
        <v>41901</v>
      </c>
      <c r="U11" s="211"/>
      <c r="V11" s="211"/>
      <c r="W11" s="211"/>
      <c r="X11" s="211"/>
      <c r="Y11" s="197" t="s">
        <v>987</v>
      </c>
      <c r="Z11" s="230" t="s">
        <v>850</v>
      </c>
      <c r="AA11" s="220">
        <v>38726</v>
      </c>
      <c r="AB11" s="181" t="s">
        <v>709</v>
      </c>
      <c r="AC11" s="179">
        <v>41486</v>
      </c>
      <c r="AD11" s="201"/>
      <c r="AE11" s="201"/>
      <c r="AF11" s="201" t="s">
        <v>1061</v>
      </c>
      <c r="AG11" s="201" t="s">
        <v>998</v>
      </c>
      <c r="AH11" s="201"/>
      <c r="AI11" s="201" t="s">
        <v>1061</v>
      </c>
    </row>
    <row r="12" spans="1:37" x14ac:dyDescent="0.2">
      <c r="A12" s="180">
        <v>42613</v>
      </c>
      <c r="B12" s="191" t="s">
        <v>587</v>
      </c>
      <c r="C12" s="191" t="s">
        <v>1192</v>
      </c>
      <c r="D12" s="196" t="s">
        <v>113</v>
      </c>
      <c r="E12" s="196"/>
      <c r="F12" s="196" t="s">
        <v>193</v>
      </c>
      <c r="G12" s="204" t="s">
        <v>973</v>
      </c>
      <c r="H12" s="231" t="s">
        <v>346</v>
      </c>
      <c r="I12" s="232" t="s">
        <v>347</v>
      </c>
      <c r="J12" s="232"/>
      <c r="K12" s="232"/>
      <c r="L12" s="232" t="s">
        <v>350</v>
      </c>
      <c r="M12" s="192">
        <v>398</v>
      </c>
      <c r="N12" s="192"/>
      <c r="O12" s="233" t="s">
        <v>442</v>
      </c>
      <c r="P12" s="234">
        <v>42601</v>
      </c>
      <c r="Q12" s="235" t="s">
        <v>442</v>
      </c>
      <c r="R12" s="194">
        <v>41302</v>
      </c>
      <c r="S12" s="235" t="s">
        <v>442</v>
      </c>
      <c r="T12" s="194">
        <v>41628</v>
      </c>
      <c r="U12" s="182"/>
      <c r="V12" s="182"/>
      <c r="W12" s="182"/>
      <c r="X12" s="182"/>
      <c r="Y12" s="197" t="s">
        <v>987</v>
      </c>
      <c r="Z12" s="236" t="s">
        <v>459</v>
      </c>
      <c r="AA12" s="237">
        <v>39743</v>
      </c>
      <c r="AB12" s="214" t="s">
        <v>1023</v>
      </c>
      <c r="AC12" s="180">
        <v>42601</v>
      </c>
      <c r="AD12" s="201"/>
      <c r="AE12" s="201" t="s">
        <v>1060</v>
      </c>
      <c r="AF12" s="201"/>
      <c r="AG12" s="201"/>
      <c r="AH12" s="201" t="s">
        <v>1061</v>
      </c>
      <c r="AI12" s="201"/>
    </row>
    <row r="13" spans="1:37" x14ac:dyDescent="0.2">
      <c r="A13" s="180">
        <v>42671</v>
      </c>
      <c r="B13" s="202" t="s">
        <v>543</v>
      </c>
      <c r="C13" s="202" t="s">
        <v>1245</v>
      </c>
      <c r="D13" s="204" t="s">
        <v>113</v>
      </c>
      <c r="E13" s="204"/>
      <c r="F13" s="204" t="s">
        <v>193</v>
      </c>
      <c r="G13" s="204" t="s">
        <v>973</v>
      </c>
      <c r="H13" s="216" t="s">
        <v>69</v>
      </c>
      <c r="I13" s="202"/>
      <c r="J13" s="217" t="s">
        <v>342</v>
      </c>
      <c r="K13" s="217" t="s">
        <v>545</v>
      </c>
      <c r="L13" s="217" t="s">
        <v>546</v>
      </c>
      <c r="M13" s="218">
        <v>407</v>
      </c>
      <c r="N13" s="218"/>
      <c r="O13" s="233" t="s">
        <v>544</v>
      </c>
      <c r="P13" s="234">
        <v>42632</v>
      </c>
      <c r="Q13" s="209" t="s">
        <v>544</v>
      </c>
      <c r="R13" s="210">
        <v>41737</v>
      </c>
      <c r="S13" s="209" t="s">
        <v>544</v>
      </c>
      <c r="T13" s="210">
        <v>41834</v>
      </c>
      <c r="U13" s="214"/>
      <c r="V13" s="214"/>
      <c r="W13" s="214"/>
      <c r="X13" s="214"/>
      <c r="Y13" s="212" t="s">
        <v>989</v>
      </c>
      <c r="Z13" s="223" t="s">
        <v>823</v>
      </c>
      <c r="AA13" s="213">
        <v>41981</v>
      </c>
      <c r="AB13" s="214" t="s">
        <v>1023</v>
      </c>
      <c r="AC13" s="179">
        <v>42600</v>
      </c>
      <c r="AD13" s="201"/>
      <c r="AE13" s="201" t="s">
        <v>1061</v>
      </c>
      <c r="AF13" s="201"/>
      <c r="AG13" s="201" t="s">
        <v>998</v>
      </c>
      <c r="AH13" s="201" t="s">
        <v>1061</v>
      </c>
      <c r="AI13" s="201"/>
    </row>
    <row r="14" spans="1:37" x14ac:dyDescent="0.2">
      <c r="A14" s="180">
        <v>42671</v>
      </c>
      <c r="B14" s="202" t="s">
        <v>145</v>
      </c>
      <c r="C14" s="202" t="s">
        <v>1251</v>
      </c>
      <c r="D14" s="203" t="s">
        <v>113</v>
      </c>
      <c r="E14" s="204"/>
      <c r="F14" s="204" t="s">
        <v>184</v>
      </c>
      <c r="G14" s="204" t="s">
        <v>959</v>
      </c>
      <c r="H14" s="205" t="s">
        <v>56</v>
      </c>
      <c r="I14" s="206"/>
      <c r="J14" s="207" t="s">
        <v>146</v>
      </c>
      <c r="K14" s="207" t="s">
        <v>146</v>
      </c>
      <c r="L14" s="238" t="s">
        <v>147</v>
      </c>
      <c r="M14" s="218"/>
      <c r="N14" s="218"/>
      <c r="O14" s="221" t="s">
        <v>271</v>
      </c>
      <c r="P14" s="222">
        <v>41603</v>
      </c>
      <c r="Q14" s="209" t="s">
        <v>271</v>
      </c>
      <c r="R14" s="210">
        <v>41180</v>
      </c>
      <c r="S14" s="221" t="s">
        <v>271</v>
      </c>
      <c r="T14" s="222">
        <v>41004</v>
      </c>
      <c r="U14" s="211"/>
      <c r="V14" s="211"/>
      <c r="W14" s="211"/>
      <c r="X14" s="211"/>
      <c r="Y14" s="212" t="s">
        <v>989</v>
      </c>
      <c r="Z14" s="212" t="s">
        <v>564</v>
      </c>
      <c r="AA14" s="213">
        <v>41611</v>
      </c>
      <c r="AB14" s="214" t="s">
        <v>1058</v>
      </c>
      <c r="AC14" s="180">
        <v>41745</v>
      </c>
      <c r="AD14" s="201"/>
      <c r="AE14" s="201" t="s">
        <v>1061</v>
      </c>
      <c r="AF14" s="201"/>
      <c r="AG14" s="201"/>
      <c r="AH14" s="201" t="s">
        <v>1060</v>
      </c>
      <c r="AI14" s="201"/>
    </row>
    <row r="15" spans="1:37" x14ac:dyDescent="0.2">
      <c r="A15" s="180">
        <v>42689</v>
      </c>
      <c r="B15" s="239" t="s">
        <v>1254</v>
      </c>
      <c r="C15" s="202" t="s">
        <v>1260</v>
      </c>
      <c r="D15" s="204" t="s">
        <v>113</v>
      </c>
      <c r="E15" s="204"/>
      <c r="F15" s="204" t="s">
        <v>188</v>
      </c>
      <c r="G15" s="204" t="s">
        <v>967</v>
      </c>
      <c r="H15" s="205" t="s">
        <v>56</v>
      </c>
      <c r="I15" s="202" t="s">
        <v>143</v>
      </c>
      <c r="J15" s="207"/>
      <c r="K15" s="207"/>
      <c r="L15" s="217" t="s">
        <v>144</v>
      </c>
      <c r="M15" s="218">
        <v>233</v>
      </c>
      <c r="N15" s="218"/>
      <c r="O15" s="233" t="s">
        <v>1255</v>
      </c>
      <c r="P15" s="234">
        <v>42684</v>
      </c>
      <c r="Q15" s="240" t="s">
        <v>585</v>
      </c>
      <c r="R15" s="210">
        <v>41708</v>
      </c>
      <c r="S15" s="219"/>
      <c r="T15" s="219"/>
      <c r="U15" s="211"/>
      <c r="V15" s="211"/>
      <c r="W15" s="211"/>
      <c r="X15" s="211"/>
      <c r="Y15" s="197" t="s">
        <v>987</v>
      </c>
      <c r="Z15" s="197" t="s">
        <v>379</v>
      </c>
      <c r="AA15" s="220">
        <v>38394</v>
      </c>
      <c r="AB15" s="215" t="s">
        <v>1256</v>
      </c>
      <c r="AC15" s="180">
        <v>41571</v>
      </c>
      <c r="AD15" s="201"/>
      <c r="AE15" s="201"/>
      <c r="AF15" s="201" t="s">
        <v>1061</v>
      </c>
      <c r="AG15" s="201" t="s">
        <v>998</v>
      </c>
      <c r="AH15" s="201"/>
      <c r="AI15" s="201" t="s">
        <v>1061</v>
      </c>
    </row>
    <row r="16" spans="1:37" x14ac:dyDescent="0.2">
      <c r="A16" s="180">
        <v>42762</v>
      </c>
      <c r="B16" s="241" t="s">
        <v>983</v>
      </c>
      <c r="C16" s="241" t="s">
        <v>1294</v>
      </c>
      <c r="D16" s="204" t="s">
        <v>113</v>
      </c>
      <c r="E16" s="204" t="s">
        <v>977</v>
      </c>
      <c r="F16" s="204" t="s">
        <v>252</v>
      </c>
      <c r="G16" s="243" t="s">
        <v>975</v>
      </c>
      <c r="H16" s="205" t="s">
        <v>56</v>
      </c>
      <c r="I16" s="202" t="s">
        <v>88</v>
      </c>
      <c r="J16" s="207"/>
      <c r="K16" s="207"/>
      <c r="L16" s="217" t="s">
        <v>180</v>
      </c>
      <c r="M16" s="218">
        <v>95</v>
      </c>
      <c r="N16" s="218"/>
      <c r="O16" s="209" t="s">
        <v>985</v>
      </c>
      <c r="P16" s="210">
        <v>42552</v>
      </c>
      <c r="Q16" s="209" t="s">
        <v>704</v>
      </c>
      <c r="R16" s="210">
        <v>41977</v>
      </c>
      <c r="S16" s="209" t="s">
        <v>704</v>
      </c>
      <c r="T16" s="210">
        <v>41989</v>
      </c>
      <c r="U16" s="211"/>
      <c r="V16" s="211"/>
      <c r="W16" s="211"/>
      <c r="X16" s="211"/>
      <c r="Y16" s="212" t="s">
        <v>989</v>
      </c>
      <c r="Z16" s="223" t="s">
        <v>1062</v>
      </c>
      <c r="AA16" s="213">
        <v>42317</v>
      </c>
      <c r="AB16" s="214" t="s">
        <v>984</v>
      </c>
      <c r="AC16" s="180">
        <v>42461</v>
      </c>
      <c r="AD16" s="242">
        <v>42283</v>
      </c>
      <c r="AE16" s="201" t="s">
        <v>1061</v>
      </c>
      <c r="AF16" s="201" t="s">
        <v>998</v>
      </c>
      <c r="AG16" s="201"/>
      <c r="AH16" s="201" t="s">
        <v>1061</v>
      </c>
      <c r="AI16" s="201"/>
      <c r="AJ16" s="201"/>
      <c r="AK16" s="201" t="s">
        <v>1060</v>
      </c>
    </row>
  </sheetData>
  <hyperlinks>
    <hyperlink ref="AB11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Kõik</vt:lpstr>
      <vt:lpstr>Maakond</vt:lpstr>
      <vt:lpstr>Tegevusala</vt:lpstr>
      <vt:lpstr>Koond</vt:lpstr>
      <vt:lpstr>Seveso</vt:lpstr>
      <vt:lpstr>Luba</vt:lpstr>
      <vt:lpstr>EKTL</vt:lpstr>
      <vt:lpstr>Tegevusala+Maakond</vt:lpstr>
      <vt:lpstr>Kustutatud</vt:lpstr>
      <vt:lpstr>Peatatud</vt:lpstr>
      <vt:lpstr>27.02.2014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Kaimar Eilo</dc:creator>
  <cp:lastModifiedBy>Reelika Kuusik</cp:lastModifiedBy>
  <cp:lastPrinted>2015-10-20T08:23:00Z</cp:lastPrinted>
  <dcterms:created xsi:type="dcterms:W3CDTF">2012-04-18T12:38:12Z</dcterms:created>
  <dcterms:modified xsi:type="dcterms:W3CDTF">2018-01-04T10:54:30Z</dcterms:modified>
</cp:coreProperties>
</file>